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mc:AlternateContent xmlns:mc="http://schemas.openxmlformats.org/markup-compatibility/2006">
    <mc:Choice Requires="x15">
      <x15ac:absPath xmlns:x15ac="http://schemas.microsoft.com/office/spreadsheetml/2010/11/ac" url="/Users/craigdiamond1/Documents/Energy Efficiency Board/Evaluation Committee/Evaluation Studies:Reports/Residential/R1617/"/>
    </mc:Choice>
  </mc:AlternateContent>
  <xr:revisionPtr revIDLastSave="0" documentId="8_{156DC6C9-2763-F046-9F1C-46F7E9A9ADA3}" xr6:coauthVersionLast="43" xr6:coauthVersionMax="43" xr10:uidLastSave="{00000000-0000-0000-0000-000000000000}"/>
  <bookViews>
    <workbookView xWindow="0" yWindow="460" windowWidth="24900" windowHeight="10960" tabRatio="750" activeTab="5" xr2:uid="{00000000-000D-0000-FFFF-FFFF00000000}"/>
  </bookViews>
  <sheets>
    <sheet name="User Guide" sheetId="7" r:id="rId1"/>
    <sheet name="Summary" sheetId="4" r:id="rId2"/>
    <sheet name="Detailed Results" sheetId="1" r:id="rId3"/>
    <sheet name="Calculations (hidden)" sheetId="2" r:id="rId4"/>
    <sheet name="MF Weights (hidden)" sheetId="5" r:id="rId5"/>
    <sheet name="Savings Buckets (hidden)" sheetId="3" r:id="rId6"/>
    <sheet name="Scenario Options (hidden)"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2" l="1"/>
  <c r="G20" i="2"/>
  <c r="G19" i="2"/>
  <c r="M20" i="2"/>
  <c r="M21" i="2"/>
  <c r="M19" i="2"/>
  <c r="K20" i="2"/>
  <c r="K21" i="2"/>
  <c r="K19" i="2"/>
  <c r="K18" i="2"/>
  <c r="H16" i="2" l="1"/>
  <c r="G10" i="4" l="1"/>
  <c r="G11" i="4"/>
  <c r="G12" i="4"/>
  <c r="G13" i="4"/>
  <c r="G14" i="4"/>
  <c r="G9" i="4"/>
  <c r="F20" i="2" l="1"/>
  <c r="F21" i="2"/>
  <c r="F19" i="2"/>
  <c r="M28" i="2"/>
  <c r="M29" i="2"/>
  <c r="M30" i="2"/>
  <c r="M31" i="2"/>
  <c r="M32" i="2"/>
  <c r="M27" i="2"/>
  <c r="K28" i="2"/>
  <c r="K29" i="2"/>
  <c r="K30" i="2"/>
  <c r="K31" i="2"/>
  <c r="K32" i="2"/>
  <c r="K27" i="2"/>
  <c r="I28" i="2"/>
  <c r="I29" i="2"/>
  <c r="I30" i="2"/>
  <c r="I31" i="2"/>
  <c r="I32" i="2"/>
  <c r="I27" i="2"/>
  <c r="F13" i="1" l="1"/>
  <c r="F15" i="1"/>
  <c r="F16" i="1"/>
  <c r="F14" i="1"/>
  <c r="C6" i="1" l="1"/>
  <c r="C7" i="1"/>
  <c r="G5" i="4" l="1"/>
  <c r="N28" i="2"/>
  <c r="N29" i="2"/>
  <c r="N30" i="2"/>
  <c r="N31" i="2"/>
  <c r="N32" i="2"/>
  <c r="N27" i="2"/>
  <c r="N17" i="2"/>
  <c r="N18" i="2"/>
  <c r="N19" i="2"/>
  <c r="N20" i="2"/>
  <c r="N21" i="2"/>
  <c r="N16" i="2"/>
  <c r="L28" i="2"/>
  <c r="L29" i="2"/>
  <c r="L30" i="2"/>
  <c r="L31" i="2"/>
  <c r="L32" i="2"/>
  <c r="L27" i="2"/>
  <c r="L17" i="2"/>
  <c r="L18" i="2"/>
  <c r="L19" i="2"/>
  <c r="L20" i="2"/>
  <c r="L21" i="2"/>
  <c r="L16" i="2"/>
  <c r="H28" i="2"/>
  <c r="H29" i="2"/>
  <c r="H30" i="2"/>
  <c r="H31" i="2"/>
  <c r="H32" i="2"/>
  <c r="H27" i="2"/>
  <c r="H17" i="2"/>
  <c r="H18" i="2"/>
  <c r="H19" i="2"/>
  <c r="H20" i="2"/>
  <c r="H21" i="2"/>
  <c r="C9" i="5"/>
  <c r="C10" i="5"/>
  <c r="M17" i="2" l="1"/>
  <c r="M18" i="2"/>
  <c r="M16" i="2"/>
  <c r="I17" i="2"/>
  <c r="I18" i="2"/>
  <c r="I19" i="2"/>
  <c r="I20" i="2"/>
  <c r="I21" i="2"/>
  <c r="I16" i="2"/>
  <c r="K17" i="2"/>
  <c r="K16" i="2"/>
  <c r="F23" i="1" l="1"/>
  <c r="D3" i="5"/>
  <c r="D4" i="5"/>
  <c r="D10" i="5" s="1"/>
  <c r="D5" i="5"/>
  <c r="D9" i="5" l="1"/>
  <c r="E9" i="5" s="1"/>
  <c r="E4" i="5"/>
  <c r="E5" i="5"/>
  <c r="E3" i="5"/>
  <c r="G15" i="4"/>
  <c r="F15" i="4"/>
  <c r="F9" i="1"/>
  <c r="G13" i="1" s="1"/>
  <c r="G23" i="1" l="1"/>
  <c r="E10" i="5"/>
  <c r="H23" i="1" s="1"/>
  <c r="I23" i="1" l="1"/>
  <c r="J23" i="1"/>
  <c r="F6" i="1" l="1"/>
  <c r="F7" i="1" l="1"/>
  <c r="C18" i="4"/>
  <c r="F24" i="1" l="1"/>
  <c r="F25" i="1"/>
  <c r="F26" i="1"/>
  <c r="F27" i="1" l="1"/>
  <c r="G28" i="2"/>
  <c r="G29" i="2"/>
  <c r="G30" i="2"/>
  <c r="G31" i="2"/>
  <c r="G32" i="2"/>
  <c r="G27" i="2"/>
  <c r="F28" i="2"/>
  <c r="O28" i="2" s="1"/>
  <c r="F29" i="2"/>
  <c r="F30" i="2"/>
  <c r="F31" i="2"/>
  <c r="F32" i="2"/>
  <c r="F27" i="2"/>
  <c r="J32" i="2"/>
  <c r="J31" i="2"/>
  <c r="J30" i="2"/>
  <c r="J29" i="2"/>
  <c r="J28" i="2"/>
  <c r="J27" i="2"/>
  <c r="G17" i="2"/>
  <c r="G18" i="2"/>
  <c r="G16" i="2"/>
  <c r="F17" i="2"/>
  <c r="O17" i="2" s="1"/>
  <c r="F18" i="2"/>
  <c r="O18" i="2" s="1"/>
  <c r="F16" i="2"/>
  <c r="J21" i="2"/>
  <c r="O21" i="2" s="1"/>
  <c r="J20" i="2"/>
  <c r="O20" i="2" s="1"/>
  <c r="J19" i="2"/>
  <c r="O19" i="2" s="1"/>
  <c r="J18" i="2"/>
  <c r="J17" i="2"/>
  <c r="J16" i="2"/>
  <c r="O32" i="2" l="1"/>
  <c r="O16" i="2"/>
  <c r="O31" i="2"/>
  <c r="O27" i="2"/>
  <c r="O30" i="2"/>
  <c r="O29" i="2"/>
  <c r="F17" i="1"/>
  <c r="G14" i="1" l="1"/>
  <c r="G15" i="1"/>
  <c r="G16" i="1"/>
  <c r="G17" i="1" l="1"/>
  <c r="H16" i="1"/>
  <c r="H15" i="1"/>
  <c r="I15" i="1"/>
  <c r="G26" i="1"/>
  <c r="H14" i="1"/>
  <c r="I16" i="1"/>
  <c r="I14" i="1"/>
  <c r="H13" i="1"/>
  <c r="I13" i="1"/>
  <c r="G25" i="1"/>
  <c r="G24" i="1"/>
  <c r="I25" i="1" l="1"/>
  <c r="H25" i="1"/>
  <c r="J25" i="1"/>
  <c r="H24" i="1"/>
  <c r="J24" i="1"/>
  <c r="I24" i="1"/>
  <c r="H26" i="1"/>
  <c r="J26" i="1"/>
  <c r="I26" i="1"/>
  <c r="J13" i="1"/>
  <c r="K13" i="1" s="1"/>
  <c r="J16" i="1"/>
  <c r="K26" i="1" s="1"/>
  <c r="J15" i="1"/>
  <c r="K25" i="1" s="1"/>
  <c r="I17" i="1"/>
  <c r="J14" i="1"/>
  <c r="K14" i="1" s="1"/>
  <c r="H17" i="1"/>
  <c r="G27" i="1"/>
  <c r="E24" i="4" s="1"/>
  <c r="K23" i="1" l="1"/>
  <c r="M25" i="1"/>
  <c r="L25" i="1"/>
  <c r="N25" i="1"/>
  <c r="M26" i="1"/>
  <c r="N26" i="1"/>
  <c r="L26" i="1"/>
  <c r="K16" i="1"/>
  <c r="K24" i="1"/>
  <c r="I27" i="1"/>
  <c r="H24" i="4" s="1"/>
  <c r="I24" i="4" s="1"/>
  <c r="H27" i="1"/>
  <c r="F24" i="4" s="1"/>
  <c r="G24" i="4" s="1"/>
  <c r="J27" i="1"/>
  <c r="K15" i="1"/>
  <c r="J17" i="1"/>
  <c r="K17" i="1" s="1"/>
  <c r="M23" i="1" l="1"/>
  <c r="N23" i="1"/>
  <c r="L23" i="1"/>
  <c r="M24" i="1"/>
  <c r="L24" i="1"/>
  <c r="N24" i="1"/>
  <c r="K27" i="1"/>
  <c r="E25" i="4" s="1"/>
  <c r="E26" i="4" s="1"/>
  <c r="E27" i="4" s="1"/>
  <c r="N27" i="1" l="1"/>
  <c r="L27" i="1"/>
  <c r="F25" i="4" s="1"/>
  <c r="G25" i="4" s="1"/>
  <c r="G26" i="4" s="1"/>
  <c r="G27" i="4" s="1"/>
  <c r="M27" i="1"/>
  <c r="H25" i="4" l="1"/>
  <c r="I25" i="4" s="1"/>
  <c r="I26" i="4" s="1"/>
  <c r="I27" i="4" s="1"/>
  <c r="F26" i="4"/>
  <c r="F27" i="4" s="1"/>
  <c r="H26" i="4" l="1"/>
  <c r="H27" i="4" s="1"/>
</calcChain>
</file>

<file path=xl/sharedStrings.xml><?xml version="1.0" encoding="utf-8"?>
<sst xmlns="http://schemas.openxmlformats.org/spreadsheetml/2006/main" count="231" uniqueCount="90">
  <si>
    <t>Electric</t>
  </si>
  <si>
    <t>Single Family</t>
  </si>
  <si>
    <t>Intended Use</t>
  </si>
  <si>
    <t>Type of Home</t>
  </si>
  <si>
    <t>Multi Family</t>
  </si>
  <si>
    <t>Percent of Participants</t>
  </si>
  <si>
    <t>Price of Alternate Fuel Sensitivity</t>
  </si>
  <si>
    <t>Select a Rate</t>
  </si>
  <si>
    <t>Total</t>
  </si>
  <si>
    <t>Price</t>
  </si>
  <si>
    <t>Adoption Rate</t>
  </si>
  <si>
    <t>Intercept</t>
  </si>
  <si>
    <t>X</t>
  </si>
  <si>
    <t>X2</t>
  </si>
  <si>
    <t>X3</t>
  </si>
  <si>
    <t>X4</t>
  </si>
  <si>
    <t>β1</t>
  </si>
  <si>
    <t>β2</t>
  </si>
  <si>
    <t>β3</t>
  </si>
  <si>
    <t>β4</t>
  </si>
  <si>
    <t>ELECTRIC BILL SENSITIVITY</t>
  </si>
  <si>
    <t>REBATE SENSITIVITY</t>
  </si>
  <si>
    <t>ALTERNATE COST SENSITIVITY</t>
  </si>
  <si>
    <t>SAVINGS BUCKETS</t>
  </si>
  <si>
    <t>NUMBER OF PROGRAM DUCTLESS HEAT PUMPS</t>
  </si>
  <si>
    <t>SAVINGS AND CARBON REDUCTIONS</t>
  </si>
  <si>
    <t>kWh  Savings</t>
  </si>
  <si>
    <t>Therms  Savings</t>
  </si>
  <si>
    <t>Carbon Reductions (tons of CO2)</t>
  </si>
  <si>
    <t>Baseline</t>
  </si>
  <si>
    <t>Scenario</t>
  </si>
  <si>
    <t>DEVELOP A SCENARIO</t>
  </si>
  <si>
    <t xml:space="preserve">Scenario </t>
  </si>
  <si>
    <t>Difference</t>
  </si>
  <si>
    <t>Scenario Factor</t>
  </si>
  <si>
    <t>Scenario output</t>
  </si>
  <si>
    <t>% Change</t>
  </si>
  <si>
    <t>Scenario input</t>
  </si>
  <si>
    <t>Not Only Cool, Non-Electric</t>
  </si>
  <si>
    <t>Cooling Only, Non-Electric</t>
  </si>
  <si>
    <t>Chosen Rate</t>
  </si>
  <si>
    <t>2015 Allocation</t>
  </si>
  <si>
    <t>Revised Baseline Allocation</t>
  </si>
  <si>
    <t>* total allocation must equal 100%</t>
  </si>
  <si>
    <t>SUMMARY OF RESULTS</t>
  </si>
  <si>
    <t>All</t>
  </si>
  <si>
    <t>Weight</t>
  </si>
  <si>
    <t>Heating Fuel</t>
  </si>
  <si>
    <t>Non-Electric</t>
  </si>
  <si>
    <t>Adoption Weight</t>
  </si>
  <si>
    <t>Savings Weight</t>
  </si>
  <si>
    <t>Heating Prior to DHP Adoption</t>
  </si>
  <si>
    <t>Planned Use of DHP at Purchase</t>
  </si>
  <si>
    <t>Cooling Only</t>
  </si>
  <si>
    <t>Heating (with or without cooling)</t>
  </si>
  <si>
    <t>Heating Fuel Prior to DHP Adoption</t>
  </si>
  <si>
    <t>Conversion</t>
  </si>
  <si>
    <t>Baseline # DHPS</t>
  </si>
  <si>
    <t>Current Assumed</t>
  </si>
  <si>
    <t>2015 Mix</t>
  </si>
  <si>
    <t>Percent Change</t>
  </si>
  <si>
    <t>LN_X</t>
  </si>
  <si>
    <t>LN_X_SINGLE_FAMILY</t>
  </si>
  <si>
    <t>LN_X_ELECTRIC</t>
  </si>
  <si>
    <t>LN_X_NON_ELEC_COOL</t>
  </si>
  <si>
    <t>Rebate Sensitivity-MF</t>
  </si>
  <si>
    <t>Rebate Sensitivity-SF</t>
  </si>
  <si>
    <r>
      <t>LN_X</t>
    </r>
    <r>
      <rPr>
        <b/>
        <vertAlign val="superscript"/>
        <sz val="11"/>
        <color theme="1"/>
        <rFont val="Calibri"/>
        <family val="2"/>
        <scheme val="minor"/>
      </rPr>
      <t>2</t>
    </r>
  </si>
  <si>
    <t>β1b</t>
  </si>
  <si>
    <t>CHOOSE THE STARTING # OF PROGRAM PARTICIPANTS</t>
  </si>
  <si>
    <t># of Program Participants</t>
  </si>
  <si>
    <t>Starting # of Program Participants</t>
  </si>
  <si>
    <t>Current Assumed # of Program Participants</t>
  </si>
  <si>
    <t>Δ Participants from Rebate</t>
  </si>
  <si>
    <t>Δ Participants from Alternate Fuel Cost</t>
  </si>
  <si>
    <t>Scenario # of Program Participants</t>
  </si>
  <si>
    <t>Revised Mix</t>
  </si>
  <si>
    <t>CHOOSE THE MIX OF HOME CHARACTERISTICS PARTICIPATING IN THE PROGRAM</t>
  </si>
  <si>
    <t>2015 starting number of program participants</t>
  </si>
  <si>
    <t>% change in starting number of program participants</t>
  </si>
  <si>
    <t xml:space="preserve">% change in the real price of alternate fuels, compared to 2015 </t>
  </si>
  <si>
    <t>% change in the rebate, compared to 2015 rebate</t>
  </si>
  <si>
    <t>Current assumed number of program participants</t>
  </si>
  <si>
    <t>Therm Program Impacts</t>
  </si>
  <si>
    <t>kWh Scenario Impacts</t>
  </si>
  <si>
    <t>kWh Impact Participant</t>
  </si>
  <si>
    <t>Therm Impact Participant</t>
  </si>
  <si>
    <t>kWh  Impacts</t>
  </si>
  <si>
    <t>Therms  Impacts</t>
  </si>
  <si>
    <t>Therms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</si>
</sst>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9"/>
      <name val="Verdana"/>
      <family val="2"/>
    </font>
    <font>
      <sz val="11"/>
      <name val="Calibri"/>
      <family val="2"/>
      <scheme val="minor"/>
    </font>
    <font>
      <b/>
      <sz val="11"/>
      <name val="Calibri"/>
      <family val="2"/>
      <scheme val="minor"/>
    </font>
    <font>
      <sz val="10"/>
      <color theme="1"/>
      <name val="Verdana"/>
      <family val="2"/>
    </font>
    <font>
      <sz val="11"/>
      <color theme="1"/>
      <name val="Calibri"/>
      <family val="2"/>
      <scheme val="minor"/>
    </font>
    <font>
      <sz val="11"/>
      <color rgb="FF000000"/>
      <name val="Calibri"/>
      <family val="2"/>
      <scheme val="minor"/>
    </font>
    <font>
      <b/>
      <vertAlign val="superscript"/>
      <sz val="11"/>
      <color theme="1"/>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145">
    <xf numFmtId="0" fontId="0" fillId="0" borderId="0" xfId="0"/>
    <xf numFmtId="9" fontId="0" fillId="0" borderId="0" xfId="0" applyNumberFormat="1"/>
    <xf numFmtId="9" fontId="2" fillId="0" borderId="0" xfId="0" applyNumberFormat="1" applyFont="1"/>
    <xf numFmtId="0" fontId="5" fillId="2" borderId="0" xfId="0" applyFont="1" applyFill="1"/>
    <xf numFmtId="0" fontId="6" fillId="2" borderId="0" xfId="0" applyFont="1" applyFill="1"/>
    <xf numFmtId="164" fontId="6" fillId="2" borderId="0" xfId="0" applyNumberFormat="1" applyFont="1" applyFill="1"/>
    <xf numFmtId="9" fontId="6" fillId="2" borderId="0" xfId="0" applyNumberFormat="1" applyFont="1" applyFill="1"/>
    <xf numFmtId="164" fontId="6" fillId="0" borderId="1" xfId="0" applyNumberFormat="1" applyFont="1" applyBorder="1"/>
    <xf numFmtId="1" fontId="6" fillId="0" borderId="1" xfId="0" applyNumberFormat="1" applyFont="1" applyBorder="1"/>
    <xf numFmtId="0" fontId="7" fillId="0" borderId="1" xfId="0" applyFont="1" applyBorder="1"/>
    <xf numFmtId="0" fontId="6" fillId="0" borderId="0" xfId="0" applyFont="1"/>
    <xf numFmtId="0" fontId="6" fillId="2" borderId="0" xfId="0" applyFont="1" applyFill="1" applyBorder="1" applyAlignment="1">
      <alignment horizontal="center"/>
    </xf>
    <xf numFmtId="9" fontId="6" fillId="2" borderId="0" xfId="0" applyNumberFormat="1" applyFont="1" applyFill="1" applyBorder="1"/>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2" borderId="0" xfId="0" applyNumberFormat="1" applyFont="1" applyFill="1" applyBorder="1" applyAlignment="1">
      <alignment horizontal="center"/>
    </xf>
    <xf numFmtId="0" fontId="8" fillId="2" borderId="0" xfId="0" applyFont="1" applyFill="1" applyBorder="1" applyAlignment="1">
      <alignment horizontal="left"/>
    </xf>
    <xf numFmtId="164" fontId="6" fillId="2" borderId="0" xfId="0" applyNumberFormat="1" applyFont="1" applyFill="1" applyBorder="1" applyAlignment="1">
      <alignment horizontal="left"/>
    </xf>
    <xf numFmtId="164" fontId="7" fillId="0" borderId="1" xfId="0" applyNumberFormat="1" applyFont="1" applyBorder="1"/>
    <xf numFmtId="3" fontId="7" fillId="0" borderId="1" xfId="0" applyNumberFormat="1" applyFont="1" applyBorder="1"/>
    <xf numFmtId="0" fontId="7" fillId="8" borderId="0" xfId="0" applyFont="1" applyFill="1" applyBorder="1" applyAlignment="1">
      <alignment horizontal="center" vertical="center" wrapText="1"/>
    </xf>
    <xf numFmtId="3" fontId="6" fillId="8" borderId="0" xfId="0" applyNumberFormat="1" applyFont="1" applyFill="1" applyBorder="1"/>
    <xf numFmtId="3" fontId="7" fillId="8" borderId="0" xfId="0" applyNumberFormat="1" applyFont="1" applyFill="1" applyBorder="1"/>
    <xf numFmtId="0" fontId="7" fillId="8" borderId="0" xfId="0" applyFont="1" applyFill="1" applyBorder="1" applyAlignment="1">
      <alignment horizontal="center"/>
    </xf>
    <xf numFmtId="9" fontId="3" fillId="4" borderId="1" xfId="0" applyNumberFormat="1" applyFont="1" applyFill="1" applyBorder="1"/>
    <xf numFmtId="3" fontId="6" fillId="0" borderId="1" xfId="0" applyNumberFormat="1" applyFont="1" applyBorder="1" applyAlignment="1">
      <alignment horizontal="center" vertical="center"/>
    </xf>
    <xf numFmtId="0" fontId="7" fillId="9" borderId="1" xfId="0" applyFont="1" applyFill="1" applyBorder="1" applyAlignment="1">
      <alignment horizontal="center" vertical="center" wrapText="1"/>
    </xf>
    <xf numFmtId="1" fontId="6" fillId="9" borderId="1" xfId="0" applyNumberFormat="1" applyFont="1" applyFill="1" applyBorder="1"/>
    <xf numFmtId="3" fontId="7" fillId="9" borderId="1" xfId="0" applyNumberFormat="1" applyFont="1" applyFill="1" applyBorder="1"/>
    <xf numFmtId="0" fontId="7" fillId="10" borderId="1" xfId="0" applyFont="1" applyFill="1" applyBorder="1" applyAlignment="1">
      <alignment horizontal="center" vertical="center" wrapText="1"/>
    </xf>
    <xf numFmtId="1" fontId="6" fillId="10" borderId="1" xfId="0" applyNumberFormat="1" applyFont="1" applyFill="1" applyBorder="1"/>
    <xf numFmtId="3" fontId="7" fillId="10" borderId="1" xfId="0" applyNumberFormat="1" applyFont="1" applyFill="1" applyBorder="1"/>
    <xf numFmtId="0" fontId="7" fillId="2" borderId="2" xfId="0" applyFont="1" applyFill="1" applyBorder="1" applyAlignment="1">
      <alignment horizontal="center"/>
    </xf>
    <xf numFmtId="0" fontId="7" fillId="2" borderId="5" xfId="0" applyFont="1" applyFill="1" applyBorder="1" applyAlignment="1">
      <alignment horizontal="center"/>
    </xf>
    <xf numFmtId="0" fontId="0" fillId="8" borderId="1" xfId="0" applyFill="1" applyBorder="1"/>
    <xf numFmtId="0" fontId="3" fillId="8" borderId="0" xfId="0" applyFont="1" applyFill="1" applyBorder="1" applyAlignment="1">
      <alignment horizontal="center"/>
    </xf>
    <xf numFmtId="1" fontId="7" fillId="10" borderId="1" xfId="0" applyNumberFormat="1" applyFont="1" applyFill="1" applyBorder="1"/>
    <xf numFmtId="0" fontId="0" fillId="0" borderId="0" xfId="0" applyFill="1" applyBorder="1"/>
    <xf numFmtId="9" fontId="6" fillId="0" borderId="1" xfId="0" applyNumberFormat="1" applyFont="1" applyFill="1" applyBorder="1" applyAlignment="1">
      <alignment horizont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2" fontId="0" fillId="8" borderId="0" xfId="0" applyNumberFormat="1" applyFill="1"/>
    <xf numFmtId="0" fontId="6" fillId="8" borderId="0" xfId="0" applyFont="1" applyFill="1"/>
    <xf numFmtId="1" fontId="6" fillId="8" borderId="0" xfId="0" applyNumberFormat="1" applyFont="1" applyFill="1"/>
    <xf numFmtId="164" fontId="6" fillId="8" borderId="1" xfId="0" applyNumberFormat="1" applyFont="1" applyFill="1" applyBorder="1"/>
    <xf numFmtId="1" fontId="6" fillId="8" borderId="1" xfId="0" applyNumberFormat="1" applyFont="1" applyFill="1" applyBorder="1"/>
    <xf numFmtId="0" fontId="3" fillId="3" borderId="10" xfId="0"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0" fontId="0" fillId="0" borderId="1" xfId="0" applyBorder="1"/>
    <xf numFmtId="9" fontId="0" fillId="0" borderId="0" xfId="0" applyNumberFormat="1" applyAlignment="1">
      <alignment wrapText="1"/>
    </xf>
    <xf numFmtId="0" fontId="1" fillId="0" borderId="1" xfId="0" applyFont="1" applyBorder="1" applyAlignment="1">
      <alignment vertical="center" wrapText="1"/>
    </xf>
    <xf numFmtId="164" fontId="0" fillId="8" borderId="1" xfId="0" applyNumberFormat="1" applyFill="1" applyBorder="1"/>
    <xf numFmtId="0" fontId="0" fillId="8" borderId="0" xfId="0" applyFill="1"/>
    <xf numFmtId="10" fontId="0" fillId="8" borderId="1" xfId="0" applyNumberFormat="1" applyFill="1" applyBorder="1"/>
    <xf numFmtId="0" fontId="0" fillId="3" borderId="0" xfId="0" applyFill="1"/>
    <xf numFmtId="0" fontId="0" fillId="0" borderId="1" xfId="0" applyFill="1" applyBorder="1"/>
    <xf numFmtId="9" fontId="0" fillId="0" borderId="0" xfId="0" applyNumberFormat="1" applyBorder="1"/>
    <xf numFmtId="0" fontId="0" fillId="0" borderId="0" xfId="0" applyBorder="1"/>
    <xf numFmtId="0" fontId="1" fillId="0" borderId="0" xfId="0" applyFont="1" applyBorder="1" applyAlignment="1">
      <alignment horizontal="center" wrapText="1"/>
    </xf>
    <xf numFmtId="0" fontId="1" fillId="0" borderId="0" xfId="0" applyFont="1" applyBorder="1" applyAlignment="1">
      <alignment horizontal="center"/>
    </xf>
    <xf numFmtId="0" fontId="0" fillId="5" borderId="0" xfId="0" applyFill="1" applyBorder="1" applyAlignment="1">
      <alignment horizontal="left"/>
    </xf>
    <xf numFmtId="0" fontId="4" fillId="3" borderId="0" xfId="0" applyFont="1" applyFill="1" applyBorder="1" applyAlignment="1">
      <alignment horizontal="left"/>
    </xf>
    <xf numFmtId="0" fontId="4" fillId="0" borderId="0" xfId="0" applyFont="1" applyFill="1" applyBorder="1" applyAlignment="1">
      <alignment horizontal="left"/>
    </xf>
    <xf numFmtId="0" fontId="0" fillId="0" borderId="0" xfId="0" applyBorder="1" applyAlignment="1">
      <alignment horizontal="center"/>
    </xf>
    <xf numFmtId="0" fontId="1" fillId="0" borderId="0" xfId="0" applyFont="1" applyBorder="1" applyAlignment="1">
      <alignment vertical="center" wrapText="1"/>
    </xf>
    <xf numFmtId="2" fontId="1" fillId="0" borderId="0" xfId="0" applyNumberFormat="1" applyFont="1" applyBorder="1" applyAlignment="1">
      <alignment horizontal="center" vertical="center" wrapText="1"/>
    </xf>
    <xf numFmtId="10" fontId="1" fillId="0" borderId="0" xfId="0" applyNumberFormat="1" applyFont="1" applyBorder="1" applyAlignment="1">
      <alignment horizontal="center" vertical="center" wrapText="1"/>
    </xf>
    <xf numFmtId="0" fontId="0" fillId="0" borderId="0" xfId="0" applyBorder="1" applyAlignment="1">
      <alignment wrapText="1"/>
    </xf>
    <xf numFmtId="2" fontId="0" fillId="0" borderId="0" xfId="0" applyNumberFormat="1" applyBorder="1"/>
    <xf numFmtId="10" fontId="0" fillId="0" borderId="0" xfId="0" applyNumberFormat="1" applyBorder="1"/>
    <xf numFmtId="0" fontId="1" fillId="5" borderId="0" xfId="0" applyFont="1" applyFill="1" applyBorder="1" applyAlignment="1">
      <alignment horizontal="left"/>
    </xf>
    <xf numFmtId="2" fontId="1" fillId="5" borderId="0" xfId="0" applyNumberFormat="1" applyFont="1" applyFill="1" applyBorder="1" applyAlignment="1">
      <alignment horizontal="left"/>
    </xf>
    <xf numFmtId="0" fontId="0" fillId="5" borderId="0" xfId="0" applyFill="1" applyBorder="1"/>
    <xf numFmtId="0" fontId="3" fillId="3" borderId="0" xfId="0" applyFont="1" applyFill="1" applyBorder="1" applyAlignment="1">
      <alignment horizontal="left"/>
    </xf>
    <xf numFmtId="2" fontId="3" fillId="3" borderId="0" xfId="0" applyNumberFormat="1" applyFont="1" applyFill="1" applyBorder="1" applyAlignment="1">
      <alignment horizontal="left"/>
    </xf>
    <xf numFmtId="0" fontId="4" fillId="3" borderId="0" xfId="0" applyFont="1" applyFill="1" applyBorder="1"/>
    <xf numFmtId="0" fontId="3" fillId="3" borderId="1" xfId="0" applyFont="1" applyFill="1" applyBorder="1" applyAlignment="1">
      <alignment vertical="center" wrapText="1"/>
    </xf>
    <xf numFmtId="9" fontId="6" fillId="7" borderId="1" xfId="0" applyNumberFormat="1" applyFont="1" applyFill="1" applyBorder="1" applyAlignment="1" applyProtection="1">
      <alignment horizontal="center"/>
      <protection locked="0"/>
    </xf>
    <xf numFmtId="0" fontId="6" fillId="2" borderId="0" xfId="0" applyFont="1" applyFill="1" applyProtection="1"/>
    <xf numFmtId="164" fontId="6" fillId="2" borderId="0" xfId="0" applyNumberFormat="1" applyFont="1" applyFill="1" applyProtection="1"/>
    <xf numFmtId="0" fontId="6" fillId="7" borderId="0" xfId="0" applyFont="1" applyFill="1" applyProtection="1"/>
    <xf numFmtId="0" fontId="0" fillId="0" borderId="0" xfId="0" applyProtection="1"/>
    <xf numFmtId="0" fontId="0" fillId="11" borderId="0" xfId="0" applyFill="1" applyProtection="1"/>
    <xf numFmtId="0" fontId="8" fillId="2" borderId="0" xfId="0" applyFont="1" applyFill="1" applyBorder="1" applyAlignment="1" applyProtection="1">
      <alignment horizontal="left"/>
    </xf>
    <xf numFmtId="164" fontId="6" fillId="2" borderId="0" xfId="0" applyNumberFormat="1" applyFont="1" applyFill="1" applyBorder="1" applyAlignment="1" applyProtection="1">
      <alignment horizontal="left"/>
    </xf>
    <xf numFmtId="0" fontId="3" fillId="3" borderId="1" xfId="0" applyFont="1" applyFill="1" applyBorder="1" applyAlignment="1" applyProtection="1">
      <alignment horizontal="center" vertical="center" wrapText="1"/>
    </xf>
    <xf numFmtId="0" fontId="3" fillId="4" borderId="1" xfId="0" applyFont="1" applyFill="1" applyBorder="1" applyAlignment="1" applyProtection="1">
      <alignment wrapText="1"/>
    </xf>
    <xf numFmtId="3" fontId="3" fillId="3" borderId="1" xfId="0" applyNumberFormat="1" applyFont="1" applyFill="1" applyBorder="1" applyAlignment="1" applyProtection="1">
      <alignment horizontal="center" vertical="center"/>
    </xf>
    <xf numFmtId="0" fontId="0" fillId="8" borderId="1" xfId="0" applyFill="1" applyBorder="1" applyProtection="1"/>
    <xf numFmtId="0" fontId="6" fillId="2" borderId="1" xfId="0" applyFont="1" applyFill="1" applyBorder="1" applyProtection="1"/>
    <xf numFmtId="164" fontId="6" fillId="0" borderId="1" xfId="0" applyNumberFormat="1" applyFont="1" applyBorder="1" applyProtection="1"/>
    <xf numFmtId="0" fontId="0" fillId="0" borderId="1" xfId="0" applyBorder="1" applyProtection="1"/>
    <xf numFmtId="0" fontId="7" fillId="0" borderId="1" xfId="0" applyFont="1" applyBorder="1" applyProtection="1"/>
    <xf numFmtId="164" fontId="7" fillId="0" borderId="1" xfId="0" applyNumberFormat="1" applyFont="1" applyBorder="1" applyProtection="1"/>
    <xf numFmtId="9" fontId="3" fillId="4" borderId="1" xfId="0" applyNumberFormat="1" applyFont="1" applyFill="1" applyBorder="1" applyProtection="1"/>
    <xf numFmtId="0" fontId="3" fillId="4" borderId="4" xfId="0" applyFont="1" applyFill="1" applyBorder="1" applyAlignment="1" applyProtection="1">
      <alignment horizontal="center"/>
    </xf>
    <xf numFmtId="0" fontId="3" fillId="4" borderId="4" xfId="0" applyFont="1" applyFill="1" applyBorder="1" applyAlignment="1" applyProtection="1">
      <alignment horizontal="center" wrapText="1"/>
    </xf>
    <xf numFmtId="165" fontId="6" fillId="2" borderId="1" xfId="1" applyNumberFormat="1" applyFont="1" applyFill="1" applyBorder="1" applyAlignment="1" applyProtection="1">
      <alignment horizontal="right"/>
    </xf>
    <xf numFmtId="165" fontId="6" fillId="11" borderId="1" xfId="1" applyNumberFormat="1" applyFont="1" applyFill="1" applyBorder="1" applyAlignment="1" applyProtection="1">
      <alignment horizontal="right"/>
    </xf>
    <xf numFmtId="0" fontId="6" fillId="3" borderId="0" xfId="0" applyFont="1" applyFill="1" applyProtection="1"/>
    <xf numFmtId="0" fontId="0" fillId="3" borderId="0" xfId="0" applyFill="1" applyProtection="1"/>
    <xf numFmtId="164" fontId="6" fillId="0" borderId="1" xfId="0" applyNumberFormat="1" applyFont="1" applyFill="1" applyBorder="1"/>
    <xf numFmtId="9" fontId="6" fillId="7" borderId="1" xfId="0" applyNumberFormat="1" applyFont="1" applyFill="1" applyBorder="1" applyAlignment="1" applyProtection="1">
      <protection locked="0"/>
    </xf>
    <xf numFmtId="165" fontId="0" fillId="0" borderId="1" xfId="1" applyNumberFormat="1" applyFont="1" applyBorder="1"/>
    <xf numFmtId="164" fontId="6" fillId="7" borderId="1" xfId="0" applyNumberFormat="1" applyFont="1" applyFill="1" applyBorder="1" applyProtection="1">
      <protection locked="0"/>
    </xf>
    <xf numFmtId="164" fontId="0" fillId="0" borderId="0" xfId="0" applyNumberFormat="1" applyBorder="1"/>
    <xf numFmtId="0" fontId="1" fillId="0" borderId="0" xfId="0" applyFont="1" applyAlignment="1">
      <alignment horizontal="center"/>
    </xf>
    <xf numFmtId="49" fontId="0" fillId="8" borderId="0" xfId="0" applyNumberFormat="1" applyFill="1" applyBorder="1"/>
    <xf numFmtId="0" fontId="0" fillId="0" borderId="1" xfId="0" applyBorder="1"/>
    <xf numFmtId="3" fontId="0" fillId="0" borderId="1" xfId="0" applyNumberFormat="1" applyBorder="1"/>
    <xf numFmtId="0" fontId="10" fillId="0" borderId="1" xfId="0" applyFont="1" applyBorder="1"/>
    <xf numFmtId="3" fontId="10" fillId="0" borderId="1" xfId="0" applyNumberFormat="1" applyFont="1" applyBorder="1"/>
    <xf numFmtId="165" fontId="6" fillId="0" borderId="1" xfId="1" applyNumberFormat="1" applyFont="1" applyBorder="1" applyAlignment="1" applyProtection="1">
      <alignment horizontal="right"/>
    </xf>
    <xf numFmtId="165" fontId="0" fillId="0" borderId="0" xfId="1" applyNumberFormat="1" applyFont="1" applyProtection="1"/>
    <xf numFmtId="165" fontId="6" fillId="9" borderId="1" xfId="1" applyNumberFormat="1" applyFont="1" applyFill="1" applyBorder="1"/>
    <xf numFmtId="0" fontId="10" fillId="0" borderId="1" xfId="0" applyFont="1" applyFill="1" applyBorder="1"/>
    <xf numFmtId="0" fontId="3" fillId="4" borderId="4" xfId="0" applyFont="1" applyFill="1" applyBorder="1" applyAlignment="1" applyProtection="1">
      <alignment horizontal="right"/>
    </xf>
    <xf numFmtId="0" fontId="3" fillId="4" borderId="1" xfId="0" applyFont="1" applyFill="1" applyBorder="1" applyAlignment="1" applyProtection="1">
      <alignment horizontal="center" vertical="center" wrapText="1"/>
    </xf>
    <xf numFmtId="0" fontId="3" fillId="3" borderId="0" xfId="0" applyFont="1" applyFill="1" applyAlignment="1" applyProtection="1">
      <alignment horizontal="center"/>
    </xf>
    <xf numFmtId="0" fontId="6" fillId="0" borderId="1" xfId="0" applyFont="1" applyBorder="1" applyAlignment="1" applyProtection="1">
      <alignment horizontal="left" vertic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6" fillId="8" borderId="1" xfId="0" applyFont="1" applyFill="1" applyBorder="1" applyAlignment="1" applyProtection="1">
      <alignment horizontal="left"/>
    </xf>
    <xf numFmtId="0" fontId="6" fillId="8" borderId="1" xfId="0" applyFont="1" applyFill="1" applyBorder="1" applyAlignment="1" applyProtection="1">
      <alignment horizontal="left" vertical="center"/>
    </xf>
    <xf numFmtId="0" fontId="0" fillId="0" borderId="1" xfId="0" applyBorder="1"/>
    <xf numFmtId="0" fontId="3" fillId="3" borderId="2" xfId="0" applyFont="1" applyFill="1" applyBorder="1" applyAlignment="1">
      <alignment horizontal="center"/>
    </xf>
    <xf numFmtId="0" fontId="3" fillId="3" borderId="5" xfId="0" applyFont="1" applyFill="1" applyBorder="1" applyAlignment="1">
      <alignment horizontal="center"/>
    </xf>
    <xf numFmtId="0" fontId="3" fillId="3" borderId="3" xfId="0" applyFont="1" applyFill="1" applyBorder="1" applyAlignment="1">
      <alignment horizontal="center"/>
    </xf>
    <xf numFmtId="0" fontId="7" fillId="9" borderId="5" xfId="0" applyFont="1" applyFill="1" applyBorder="1" applyAlignment="1">
      <alignment horizontal="center"/>
    </xf>
    <xf numFmtId="0" fontId="7" fillId="10" borderId="5" xfId="0" applyFont="1" applyFill="1" applyBorder="1" applyAlignment="1">
      <alignment horizontal="center"/>
    </xf>
    <xf numFmtId="0" fontId="3" fillId="4" borderId="1" xfId="0" applyFont="1" applyFill="1" applyBorder="1" applyAlignment="1">
      <alignment horizontal="center"/>
    </xf>
    <xf numFmtId="0" fontId="6" fillId="0" borderId="1" xfId="0" applyFont="1" applyBorder="1" applyAlignment="1">
      <alignment horizontal="left"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8" borderId="0" xfId="0" applyFont="1" applyFill="1" applyAlignment="1">
      <alignment horizontal="center"/>
    </xf>
    <xf numFmtId="0" fontId="3" fillId="8" borderId="1" xfId="0" applyFont="1" applyFill="1" applyBorder="1" applyAlignment="1">
      <alignment horizontal="center"/>
    </xf>
    <xf numFmtId="0" fontId="3" fillId="3" borderId="1" xfId="0" applyFont="1" applyFill="1" applyBorder="1" applyAlignment="1">
      <alignment horizontal="center" vertical="center"/>
    </xf>
    <xf numFmtId="0" fontId="1" fillId="12" borderId="0" xfId="0" applyFont="1" applyFill="1" applyAlignment="1">
      <alignment horizontal="center"/>
    </xf>
    <xf numFmtId="0" fontId="1" fillId="6" borderId="0" xfId="0" applyFont="1" applyFill="1" applyAlignment="1">
      <alignment horizontal="center"/>
    </xf>
    <xf numFmtId="0" fontId="1" fillId="5" borderId="0" xfId="0" applyFont="1" applyFill="1" applyAlignment="1">
      <alignment horizontal="center"/>
    </xf>
    <xf numFmtId="0" fontId="3" fillId="3" borderId="0" xfId="0" applyFont="1" applyFill="1" applyAlignment="1">
      <alignment horizontal="center"/>
    </xf>
  </cellXfs>
  <cellStyles count="2">
    <cellStyle name="Comma"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a:solidFill>
                  <a:schemeClr val="bg2"/>
                </a:solidFill>
              </a:rPr>
              <a:t>Change in Number of Program Participants</a:t>
            </a:r>
          </a:p>
        </c:rich>
      </c:tx>
      <c:overlay val="0"/>
      <c:spPr>
        <a:solidFill>
          <a:schemeClr val="accent1"/>
        </a:solid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barChart>
        <c:barDir val="col"/>
        <c:grouping val="clustered"/>
        <c:varyColors val="0"/>
        <c:ser>
          <c:idx val="0"/>
          <c:order val="0"/>
          <c:tx>
            <c:strRef>
              <c:f>'Detailed Results'!$G$21</c:f>
              <c:strCache>
                <c:ptCount val="1"/>
                <c:pt idx="0">
                  <c:v>Current Assumed</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D5B3-456B-891F-58CF2B235A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'Detailed Results'!$G$22</c:f>
              <c:strCache>
                <c:ptCount val="1"/>
                <c:pt idx="0">
                  <c:v># of Program Participants</c:v>
                </c:pt>
              </c:strCache>
            </c:strRef>
          </c:cat>
          <c:val>
            <c:numRef>
              <c:f>'Detailed Results'!$G$17</c:f>
              <c:numCache>
                <c:formatCode>#,##0</c:formatCode>
                <c:ptCount val="1"/>
                <c:pt idx="0">
                  <c:v>1197</c:v>
                </c:pt>
              </c:numCache>
            </c:numRef>
          </c:val>
          <c:extLst>
            <c:ext xmlns:c16="http://schemas.microsoft.com/office/drawing/2014/chart" uri="{C3380CC4-5D6E-409C-BE32-E72D297353CC}">
              <c16:uniqueId val="{00000002-D5B3-456B-891F-58CF2B235A63}"/>
            </c:ext>
          </c:extLst>
        </c:ser>
        <c:ser>
          <c:idx val="1"/>
          <c:order val="1"/>
          <c:tx>
            <c:strRef>
              <c:f>'Detailed Results'!$K$21</c:f>
              <c:strCache>
                <c:ptCount val="1"/>
                <c:pt idx="0">
                  <c:v>Scenario</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4-D5B3-456B-891F-58CF2B235A63}"/>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B3-456B-891F-58CF2B235A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'Detailed Results'!$G$22</c:f>
              <c:strCache>
                <c:ptCount val="1"/>
                <c:pt idx="0">
                  <c:v># of Program Participants</c:v>
                </c:pt>
              </c:strCache>
            </c:strRef>
          </c:cat>
          <c:val>
            <c:numRef>
              <c:f>'Detailed Results'!$J$17</c:f>
              <c:numCache>
                <c:formatCode>#,##0</c:formatCode>
                <c:ptCount val="1"/>
                <c:pt idx="0">
                  <c:v>1716.2673317662054</c:v>
                </c:pt>
              </c:numCache>
            </c:numRef>
          </c:val>
          <c:extLst>
            <c:ext xmlns:c16="http://schemas.microsoft.com/office/drawing/2014/chart" uri="{C3380CC4-5D6E-409C-BE32-E72D297353CC}">
              <c16:uniqueId val="{00000005-D5B3-456B-891F-58CF2B235A63}"/>
            </c:ext>
          </c:extLst>
        </c:ser>
        <c:dLbls>
          <c:dLblPos val="outEnd"/>
          <c:showLegendKey val="0"/>
          <c:showVal val="1"/>
          <c:showCatName val="0"/>
          <c:showSerName val="0"/>
          <c:showPercent val="0"/>
          <c:showBubbleSize val="0"/>
        </c:dLbls>
        <c:gapWidth val="219"/>
        <c:axId val="649089440"/>
        <c:axId val="649086160"/>
      </c:barChart>
      <c:catAx>
        <c:axId val="6490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9086160"/>
        <c:crosses val="autoZero"/>
        <c:auto val="1"/>
        <c:lblAlgn val="ctr"/>
        <c:lblOffset val="100"/>
        <c:noMultiLvlLbl val="0"/>
      </c:catAx>
      <c:valAx>
        <c:axId val="649086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9089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baseline="0">
                <a:solidFill>
                  <a:schemeClr val="bg2"/>
                </a:solidFill>
              </a:rPr>
              <a:t>Impacts: Electricity (kWh) and Fuel (therms)</a:t>
            </a:r>
            <a:endParaRPr lang="en-US">
              <a:solidFill>
                <a:schemeClr val="bg2"/>
              </a:solidFill>
            </a:endParaRPr>
          </a:p>
        </c:rich>
      </c:tx>
      <c:overlay val="0"/>
      <c:spPr>
        <a:solidFill>
          <a:schemeClr val="accent1"/>
        </a:solid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barChart>
        <c:barDir val="col"/>
        <c:grouping val="clustered"/>
        <c:varyColors val="0"/>
        <c:ser>
          <c:idx val="0"/>
          <c:order val="0"/>
          <c:tx>
            <c:strRef>
              <c:f>'Detailed Results'!$G$21</c:f>
              <c:strCache>
                <c:ptCount val="1"/>
                <c:pt idx="0">
                  <c:v>Current Assumed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Results'!$H$22:$I$22</c:f>
              <c:strCache>
                <c:ptCount val="2"/>
                <c:pt idx="0">
                  <c:v>kWh  Impacts</c:v>
                </c:pt>
                <c:pt idx="1">
                  <c:v>Therms  Impacts</c:v>
                </c:pt>
              </c:strCache>
            </c:strRef>
          </c:cat>
          <c:val>
            <c:numRef>
              <c:extLst>
                <c:ext xmlns:c15="http://schemas.microsoft.com/office/drawing/2012/chart" uri="{02D57815-91ED-43cb-92C2-25804820EDAC}">
                  <c15:fullRef>
                    <c15:sqref>'Detailed Results'!$H$27:$J$27</c15:sqref>
                  </c15:fullRef>
                </c:ext>
              </c:extLst>
              <c:f>'Detailed Results'!$H$27:$I$27</c:f>
              <c:numCache>
                <c:formatCode>#,##0</c:formatCode>
                <c:ptCount val="2"/>
                <c:pt idx="0">
                  <c:v>-550646.60000000009</c:v>
                </c:pt>
                <c:pt idx="1">
                  <c:v>151021.5</c:v>
                </c:pt>
              </c:numCache>
            </c:numRef>
          </c:val>
          <c:extLst>
            <c:ext xmlns:c16="http://schemas.microsoft.com/office/drawing/2014/chart" uri="{C3380CC4-5D6E-409C-BE32-E72D297353CC}">
              <c16:uniqueId val="{00000002-8947-4782-B76D-F8A30E2A19A3}"/>
            </c:ext>
          </c:extLst>
        </c:ser>
        <c:ser>
          <c:idx val="1"/>
          <c:order val="1"/>
          <c:tx>
            <c:strRef>
              <c:f>'Detailed Results'!$K$21</c:f>
              <c:strCache>
                <c:ptCount val="1"/>
                <c:pt idx="0">
                  <c:v>Scenario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Results'!$H$22:$I$22</c:f>
              <c:strCache>
                <c:ptCount val="2"/>
                <c:pt idx="0">
                  <c:v>kWh  Impacts</c:v>
                </c:pt>
                <c:pt idx="1">
                  <c:v>Therms  Impacts</c:v>
                </c:pt>
              </c:strCache>
            </c:strRef>
          </c:cat>
          <c:val>
            <c:numRef>
              <c:extLst>
                <c:ext xmlns:c15="http://schemas.microsoft.com/office/drawing/2012/chart" uri="{02D57815-91ED-43cb-92C2-25804820EDAC}">
                  <c15:fullRef>
                    <c15:sqref>'Detailed Results'!$L$27:$N$27</c15:sqref>
                  </c15:fullRef>
                </c:ext>
              </c:extLst>
              <c:f>'Detailed Results'!$L$27:$M$27</c:f>
              <c:numCache>
                <c:formatCode>#,##0</c:formatCode>
                <c:ptCount val="2"/>
                <c:pt idx="0">
                  <c:v>-806380.61460436299</c:v>
                </c:pt>
                <c:pt idx="1">
                  <c:v>216020.53475799278</c:v>
                </c:pt>
              </c:numCache>
            </c:numRef>
          </c:val>
          <c:extLst>
            <c:ext xmlns:c16="http://schemas.microsoft.com/office/drawing/2014/chart" uri="{C3380CC4-5D6E-409C-BE32-E72D297353CC}">
              <c16:uniqueId val="{00000003-8947-4782-B76D-F8A30E2A19A3}"/>
            </c:ext>
          </c:extLst>
        </c:ser>
        <c:dLbls>
          <c:dLblPos val="outEnd"/>
          <c:showLegendKey val="0"/>
          <c:showVal val="1"/>
          <c:showCatName val="0"/>
          <c:showSerName val="0"/>
          <c:showPercent val="0"/>
          <c:showBubbleSize val="0"/>
        </c:dLbls>
        <c:gapWidth val="219"/>
        <c:axId val="648786992"/>
        <c:axId val="648782400"/>
      </c:barChart>
      <c:catAx>
        <c:axId val="64878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2400"/>
        <c:crosses val="autoZero"/>
        <c:auto val="1"/>
        <c:lblAlgn val="ctr"/>
        <c:lblOffset val="100"/>
        <c:noMultiLvlLbl val="0"/>
      </c:catAx>
      <c:valAx>
        <c:axId val="64878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6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a:solidFill>
                  <a:schemeClr val="bg2"/>
                </a:solidFill>
              </a:rPr>
              <a:t>Reduction in Carbon</a:t>
            </a:r>
            <a:r>
              <a:rPr lang="en-US" baseline="0">
                <a:solidFill>
                  <a:schemeClr val="bg2"/>
                </a:solidFill>
              </a:rPr>
              <a:t> Dioxide (tons)</a:t>
            </a:r>
            <a:endParaRPr lang="en-US">
              <a:solidFill>
                <a:schemeClr val="bg2"/>
              </a:solidFill>
            </a:endParaRPr>
          </a:p>
        </c:rich>
      </c:tx>
      <c:overlay val="0"/>
      <c:spPr>
        <a:solidFill>
          <a:schemeClr val="accent1"/>
        </a:solid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barChart>
        <c:barDir val="col"/>
        <c:grouping val="clustered"/>
        <c:varyColors val="0"/>
        <c:ser>
          <c:idx val="0"/>
          <c:order val="0"/>
          <c:tx>
            <c:strRef>
              <c:f>'Detailed Results'!$G$21</c:f>
              <c:strCache>
                <c:ptCount val="1"/>
                <c:pt idx="0">
                  <c:v>Current Assumed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Results'!$J$22</c:f>
              <c:strCache>
                <c:ptCount val="1"/>
                <c:pt idx="0">
                  <c:v>Carbon Reductions (tons of CO2)</c:v>
                </c:pt>
              </c:strCache>
            </c:strRef>
          </c:cat>
          <c:val>
            <c:numRef>
              <c:extLst>
                <c:ext xmlns:c15="http://schemas.microsoft.com/office/drawing/2012/chart" uri="{02D57815-91ED-43cb-92C2-25804820EDAC}">
                  <c15:fullRef>
                    <c15:sqref>'Detailed Results'!$H$27:$J$27</c15:sqref>
                  </c15:fullRef>
                </c:ext>
              </c:extLst>
              <c:f>'Detailed Results'!$J$27</c:f>
              <c:numCache>
                <c:formatCode>#,##0</c:formatCode>
                <c:ptCount val="1"/>
                <c:pt idx="0">
                  <c:v>941.6400000000001</c:v>
                </c:pt>
              </c:numCache>
            </c:numRef>
          </c:val>
          <c:extLst>
            <c:ext xmlns:c16="http://schemas.microsoft.com/office/drawing/2014/chart" uri="{C3380CC4-5D6E-409C-BE32-E72D297353CC}">
              <c16:uniqueId val="{00000000-3D19-426F-921A-96A34262EF31}"/>
            </c:ext>
          </c:extLst>
        </c:ser>
        <c:ser>
          <c:idx val="1"/>
          <c:order val="1"/>
          <c:tx>
            <c:strRef>
              <c:f>'Detailed Results'!$K$21</c:f>
              <c:strCache>
                <c:ptCount val="1"/>
                <c:pt idx="0">
                  <c:v>Scenario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Results'!$J$22</c:f>
              <c:strCache>
                <c:ptCount val="1"/>
                <c:pt idx="0">
                  <c:v>Carbon Reductions (tons of CO2)</c:v>
                </c:pt>
              </c:strCache>
            </c:strRef>
          </c:cat>
          <c:val>
            <c:numRef>
              <c:extLst>
                <c:ext xmlns:c15="http://schemas.microsoft.com/office/drawing/2012/chart" uri="{02D57815-91ED-43cb-92C2-25804820EDAC}">
                  <c15:fullRef>
                    <c15:sqref>'Detailed Results'!$L$27:$N$27</c15:sqref>
                  </c15:fullRef>
                </c:ext>
              </c:extLst>
              <c:f>'Detailed Results'!$N$27</c:f>
              <c:numCache>
                <c:formatCode>#,##0</c:formatCode>
                <c:ptCount val="1"/>
                <c:pt idx="0">
                  <c:v>1346.0351936543091</c:v>
                </c:pt>
              </c:numCache>
            </c:numRef>
          </c:val>
          <c:extLst>
            <c:ext xmlns:c16="http://schemas.microsoft.com/office/drawing/2014/chart" uri="{C3380CC4-5D6E-409C-BE32-E72D297353CC}">
              <c16:uniqueId val="{00000001-3D19-426F-921A-96A34262EF31}"/>
            </c:ext>
          </c:extLst>
        </c:ser>
        <c:dLbls>
          <c:dLblPos val="outEnd"/>
          <c:showLegendKey val="0"/>
          <c:showVal val="1"/>
          <c:showCatName val="0"/>
          <c:showSerName val="0"/>
          <c:showPercent val="0"/>
          <c:showBubbleSize val="0"/>
        </c:dLbls>
        <c:gapWidth val="219"/>
        <c:axId val="648786992"/>
        <c:axId val="648782400"/>
      </c:barChart>
      <c:catAx>
        <c:axId val="64878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2400"/>
        <c:crosses val="autoZero"/>
        <c:auto val="1"/>
        <c:lblAlgn val="ctr"/>
        <c:lblOffset val="100"/>
        <c:noMultiLvlLbl val="0"/>
      </c:catAx>
      <c:valAx>
        <c:axId val="64878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6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a:solidFill>
                  <a:schemeClr val="bg2"/>
                </a:solidFill>
              </a:rPr>
              <a:t>Change in Number of Program Participants</a:t>
            </a:r>
          </a:p>
        </c:rich>
      </c:tx>
      <c:overlay val="0"/>
      <c:spPr>
        <a:solidFill>
          <a:schemeClr val="accent1"/>
        </a:solid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barChart>
        <c:barDir val="col"/>
        <c:grouping val="clustered"/>
        <c:varyColors val="0"/>
        <c:ser>
          <c:idx val="0"/>
          <c:order val="0"/>
          <c:tx>
            <c:strRef>
              <c:f>'Detailed Results'!$G$21</c:f>
              <c:strCache>
                <c:ptCount val="1"/>
                <c:pt idx="0">
                  <c:v>Current Assumed</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5-BB5C-4CA6-AC9C-487DC9E342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'Detailed Results'!$G$22</c:f>
              <c:strCache>
                <c:ptCount val="1"/>
                <c:pt idx="0">
                  <c:v># of Program Participants</c:v>
                </c:pt>
              </c:strCache>
            </c:strRef>
          </c:cat>
          <c:val>
            <c:numRef>
              <c:f>'Detailed Results'!$G$17</c:f>
              <c:numCache>
                <c:formatCode>#,##0</c:formatCode>
                <c:ptCount val="1"/>
                <c:pt idx="0">
                  <c:v>1197</c:v>
                </c:pt>
              </c:numCache>
            </c:numRef>
          </c:val>
          <c:extLst>
            <c:ext xmlns:c16="http://schemas.microsoft.com/office/drawing/2014/chart" uri="{C3380CC4-5D6E-409C-BE32-E72D297353CC}">
              <c16:uniqueId val="{00000000-BB5C-4CA6-AC9C-487DC9E3424A}"/>
            </c:ext>
          </c:extLst>
        </c:ser>
        <c:ser>
          <c:idx val="1"/>
          <c:order val="1"/>
          <c:tx>
            <c:strRef>
              <c:f>'Detailed Results'!$K$21</c:f>
              <c:strCache>
                <c:ptCount val="1"/>
                <c:pt idx="0">
                  <c:v>Scenario</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0DB6-4BEC-95E3-07120AE0E0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'Detailed Results'!$G$22</c:f>
              <c:strCache>
                <c:ptCount val="1"/>
                <c:pt idx="0">
                  <c:v># of Program Participants</c:v>
                </c:pt>
              </c:strCache>
            </c:strRef>
          </c:cat>
          <c:val>
            <c:numRef>
              <c:f>'Detailed Results'!$J$17</c:f>
              <c:numCache>
                <c:formatCode>#,##0</c:formatCode>
                <c:ptCount val="1"/>
                <c:pt idx="0">
                  <c:v>1716.2673317662054</c:v>
                </c:pt>
              </c:numCache>
            </c:numRef>
          </c:val>
          <c:extLst>
            <c:ext xmlns:c16="http://schemas.microsoft.com/office/drawing/2014/chart" uri="{C3380CC4-5D6E-409C-BE32-E72D297353CC}">
              <c16:uniqueId val="{00000006-B927-40C3-B27B-CD02C07E5C44}"/>
            </c:ext>
          </c:extLst>
        </c:ser>
        <c:dLbls>
          <c:dLblPos val="outEnd"/>
          <c:showLegendKey val="0"/>
          <c:showVal val="1"/>
          <c:showCatName val="0"/>
          <c:showSerName val="0"/>
          <c:showPercent val="0"/>
          <c:showBubbleSize val="0"/>
        </c:dLbls>
        <c:gapWidth val="219"/>
        <c:axId val="649089440"/>
        <c:axId val="649086160"/>
      </c:barChart>
      <c:catAx>
        <c:axId val="6490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9086160"/>
        <c:crosses val="autoZero"/>
        <c:auto val="1"/>
        <c:lblAlgn val="ctr"/>
        <c:lblOffset val="100"/>
        <c:noMultiLvlLbl val="0"/>
      </c:catAx>
      <c:valAx>
        <c:axId val="649086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9089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baseline="0">
                <a:solidFill>
                  <a:schemeClr val="bg2"/>
                </a:solidFill>
              </a:rPr>
              <a:t>Impacts: Electricity (kWh) and Fuel (therms)</a:t>
            </a:r>
            <a:endParaRPr lang="en-US">
              <a:solidFill>
                <a:schemeClr val="bg2"/>
              </a:solidFill>
            </a:endParaRPr>
          </a:p>
        </c:rich>
      </c:tx>
      <c:overlay val="0"/>
      <c:spPr>
        <a:solidFill>
          <a:schemeClr val="accent1"/>
        </a:solid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barChart>
        <c:barDir val="col"/>
        <c:grouping val="clustered"/>
        <c:varyColors val="0"/>
        <c:ser>
          <c:idx val="0"/>
          <c:order val="0"/>
          <c:tx>
            <c:strRef>
              <c:f>'Detailed Results'!$G$21</c:f>
              <c:strCache>
                <c:ptCount val="1"/>
                <c:pt idx="0">
                  <c:v>Current Assumed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Results'!$H$22:$I$22</c:f>
              <c:strCache>
                <c:ptCount val="2"/>
                <c:pt idx="0">
                  <c:v>kWh  Impacts</c:v>
                </c:pt>
                <c:pt idx="1">
                  <c:v>Therms  Impacts</c:v>
                </c:pt>
              </c:strCache>
            </c:strRef>
          </c:cat>
          <c:val>
            <c:numRef>
              <c:extLst>
                <c:ext xmlns:c15="http://schemas.microsoft.com/office/drawing/2012/chart" uri="{02D57815-91ED-43cb-92C2-25804820EDAC}">
                  <c15:fullRef>
                    <c15:sqref>'Detailed Results'!$H$27:$J$27</c15:sqref>
                  </c15:fullRef>
                </c:ext>
              </c:extLst>
              <c:f>'Detailed Results'!$H$27:$I$27</c:f>
              <c:numCache>
                <c:formatCode>#,##0</c:formatCode>
                <c:ptCount val="2"/>
                <c:pt idx="0">
                  <c:v>-550646.60000000009</c:v>
                </c:pt>
                <c:pt idx="1">
                  <c:v>151021.5</c:v>
                </c:pt>
              </c:numCache>
            </c:numRef>
          </c:val>
          <c:extLst>
            <c:ext xmlns:c16="http://schemas.microsoft.com/office/drawing/2014/chart" uri="{C3380CC4-5D6E-409C-BE32-E72D297353CC}">
              <c16:uniqueId val="{00000000-C2DE-4199-9FCB-45436A9A0944}"/>
            </c:ext>
          </c:extLst>
        </c:ser>
        <c:ser>
          <c:idx val="1"/>
          <c:order val="1"/>
          <c:tx>
            <c:strRef>
              <c:f>'Detailed Results'!$K$21</c:f>
              <c:strCache>
                <c:ptCount val="1"/>
                <c:pt idx="0">
                  <c:v>Scenario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Results'!$H$22:$I$22</c:f>
              <c:strCache>
                <c:ptCount val="2"/>
                <c:pt idx="0">
                  <c:v>kWh  Impacts</c:v>
                </c:pt>
                <c:pt idx="1">
                  <c:v>Therms  Impacts</c:v>
                </c:pt>
              </c:strCache>
            </c:strRef>
          </c:cat>
          <c:val>
            <c:numRef>
              <c:extLst>
                <c:ext xmlns:c15="http://schemas.microsoft.com/office/drawing/2012/chart" uri="{02D57815-91ED-43cb-92C2-25804820EDAC}">
                  <c15:fullRef>
                    <c15:sqref>'Detailed Results'!$L$27:$N$27</c15:sqref>
                  </c15:fullRef>
                </c:ext>
              </c:extLst>
              <c:f>'Detailed Results'!$L$27:$M$27</c:f>
              <c:numCache>
                <c:formatCode>#,##0</c:formatCode>
                <c:ptCount val="2"/>
                <c:pt idx="0">
                  <c:v>-806380.61460436299</c:v>
                </c:pt>
                <c:pt idx="1">
                  <c:v>216020.53475799278</c:v>
                </c:pt>
              </c:numCache>
            </c:numRef>
          </c:val>
          <c:extLst>
            <c:ext xmlns:c16="http://schemas.microsoft.com/office/drawing/2014/chart" uri="{C3380CC4-5D6E-409C-BE32-E72D297353CC}">
              <c16:uniqueId val="{00000001-C2DE-4199-9FCB-45436A9A0944}"/>
            </c:ext>
          </c:extLst>
        </c:ser>
        <c:dLbls>
          <c:dLblPos val="outEnd"/>
          <c:showLegendKey val="0"/>
          <c:showVal val="1"/>
          <c:showCatName val="0"/>
          <c:showSerName val="0"/>
          <c:showPercent val="0"/>
          <c:showBubbleSize val="0"/>
        </c:dLbls>
        <c:gapWidth val="219"/>
        <c:axId val="648786992"/>
        <c:axId val="648782400"/>
      </c:barChart>
      <c:catAx>
        <c:axId val="64878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2400"/>
        <c:crosses val="autoZero"/>
        <c:auto val="1"/>
        <c:lblAlgn val="ctr"/>
        <c:lblOffset val="100"/>
        <c:noMultiLvlLbl val="0"/>
      </c:catAx>
      <c:valAx>
        <c:axId val="64878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6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r>
              <a:rPr lang="en-US">
                <a:solidFill>
                  <a:schemeClr val="bg2"/>
                </a:solidFill>
              </a:rPr>
              <a:t>Reduction in Carbon</a:t>
            </a:r>
            <a:r>
              <a:rPr lang="en-US" baseline="0">
                <a:solidFill>
                  <a:schemeClr val="bg2"/>
                </a:solidFill>
              </a:rPr>
              <a:t> Dioxide (tons)</a:t>
            </a:r>
            <a:endParaRPr lang="en-US">
              <a:solidFill>
                <a:schemeClr val="bg2"/>
              </a:solidFill>
            </a:endParaRPr>
          </a:p>
        </c:rich>
      </c:tx>
      <c:overlay val="0"/>
      <c:spPr>
        <a:solidFill>
          <a:schemeClr val="accent1"/>
        </a:solidFill>
        <a:ln>
          <a:noFill/>
        </a:ln>
        <a:effectLst/>
      </c:spPr>
      <c:txPr>
        <a:bodyPr rot="0" spcFirstLastPara="1" vertOverflow="ellipsis" vert="horz" wrap="square" anchor="ctr" anchorCtr="1"/>
        <a:lstStyle/>
        <a:p>
          <a:pPr>
            <a:defRPr sz="1400" b="0" i="0" u="none" strike="noStrike" kern="1200" spc="0" baseline="0">
              <a:solidFill>
                <a:schemeClr val="bg2"/>
              </a:solidFill>
              <a:latin typeface="+mn-lt"/>
              <a:ea typeface="+mn-ea"/>
              <a:cs typeface="+mn-cs"/>
            </a:defRPr>
          </a:pPr>
          <a:endParaRPr lang="en-US"/>
        </a:p>
      </c:txPr>
    </c:title>
    <c:autoTitleDeleted val="0"/>
    <c:plotArea>
      <c:layout/>
      <c:barChart>
        <c:barDir val="col"/>
        <c:grouping val="clustered"/>
        <c:varyColors val="0"/>
        <c:ser>
          <c:idx val="0"/>
          <c:order val="0"/>
          <c:tx>
            <c:strRef>
              <c:f>'Detailed Results'!$G$21</c:f>
              <c:strCache>
                <c:ptCount val="1"/>
                <c:pt idx="0">
                  <c:v>Current Assumed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Results'!$J$22</c:f>
              <c:strCache>
                <c:ptCount val="1"/>
                <c:pt idx="0">
                  <c:v>Carbon Reductions (tons of CO2)</c:v>
                </c:pt>
              </c:strCache>
            </c:strRef>
          </c:cat>
          <c:val>
            <c:numRef>
              <c:extLst>
                <c:ext xmlns:c15="http://schemas.microsoft.com/office/drawing/2012/chart" uri="{02D57815-91ED-43cb-92C2-25804820EDAC}">
                  <c15:fullRef>
                    <c15:sqref>'Detailed Results'!$H$27:$J$27</c15:sqref>
                  </c15:fullRef>
                </c:ext>
              </c:extLst>
              <c:f>'Detailed Results'!$J$27</c:f>
              <c:numCache>
                <c:formatCode>#,##0</c:formatCode>
                <c:ptCount val="1"/>
                <c:pt idx="0">
                  <c:v>941.6400000000001</c:v>
                </c:pt>
              </c:numCache>
            </c:numRef>
          </c:val>
          <c:extLst>
            <c:ext xmlns:c16="http://schemas.microsoft.com/office/drawing/2014/chart" uri="{C3380CC4-5D6E-409C-BE32-E72D297353CC}">
              <c16:uniqueId val="{00000000-6FC3-4AC6-80D0-62702EA8F1B6}"/>
            </c:ext>
          </c:extLst>
        </c:ser>
        <c:ser>
          <c:idx val="1"/>
          <c:order val="1"/>
          <c:tx>
            <c:strRef>
              <c:f>'Detailed Results'!$K$21</c:f>
              <c:strCache>
                <c:ptCount val="1"/>
                <c:pt idx="0">
                  <c:v>Scenario</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'Detailed Results'!$H$22:$J$22</c15:sqref>
                  </c15:fullRef>
                </c:ext>
              </c:extLst>
              <c:f>'Detailed Results'!$J$22</c:f>
              <c:strCache>
                <c:ptCount val="1"/>
                <c:pt idx="0">
                  <c:v>Carbon Reductions (tons of CO2)</c:v>
                </c:pt>
              </c:strCache>
            </c:strRef>
          </c:cat>
          <c:val>
            <c:numRef>
              <c:extLst>
                <c:ext xmlns:c15="http://schemas.microsoft.com/office/drawing/2012/chart" uri="{02D57815-91ED-43cb-92C2-25804820EDAC}">
                  <c15:fullRef>
                    <c15:sqref>'Detailed Results'!$L$27:$N$27</c15:sqref>
                  </c15:fullRef>
                </c:ext>
              </c:extLst>
              <c:f>'Detailed Results'!$N$27</c:f>
              <c:numCache>
                <c:formatCode>#,##0</c:formatCode>
                <c:ptCount val="1"/>
                <c:pt idx="0">
                  <c:v>1346.0351936543091</c:v>
                </c:pt>
              </c:numCache>
            </c:numRef>
          </c:val>
          <c:extLst>
            <c:ext xmlns:c16="http://schemas.microsoft.com/office/drawing/2014/chart" uri="{C3380CC4-5D6E-409C-BE32-E72D297353CC}">
              <c16:uniqueId val="{00000001-6FC3-4AC6-80D0-62702EA8F1B6}"/>
            </c:ext>
          </c:extLst>
        </c:ser>
        <c:dLbls>
          <c:dLblPos val="outEnd"/>
          <c:showLegendKey val="0"/>
          <c:showVal val="1"/>
          <c:showCatName val="0"/>
          <c:showSerName val="0"/>
          <c:showPercent val="0"/>
          <c:showBubbleSize val="0"/>
        </c:dLbls>
        <c:gapWidth val="219"/>
        <c:axId val="648786992"/>
        <c:axId val="648782400"/>
      </c:barChart>
      <c:catAx>
        <c:axId val="64878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2400"/>
        <c:crosses val="autoZero"/>
        <c:auto val="1"/>
        <c:lblAlgn val="ctr"/>
        <c:lblOffset val="100"/>
        <c:noMultiLvlLbl val="0"/>
      </c:catAx>
      <c:valAx>
        <c:axId val="648782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8786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chart" Target="../charts/chart4.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305858</xdr:colOff>
      <xdr:row>5</xdr:row>
      <xdr:rowOff>68792</xdr:rowOff>
    </xdr:from>
    <xdr:to>
      <xdr:col>15</xdr:col>
      <xdr:colOff>267855</xdr:colOff>
      <xdr:row>8</xdr:row>
      <xdr:rowOff>21167</xdr:rowOff>
    </xdr:to>
    <xdr:sp macro="" textlink="">
      <xdr:nvSpPr>
        <xdr:cNvPr id="2" name="TextBox 1">
          <a:extLst>
            <a:ext uri="{FF2B5EF4-FFF2-40B4-BE49-F238E27FC236}">
              <a16:creationId xmlns:a16="http://schemas.microsoft.com/office/drawing/2014/main" id="{BB3B7272-6B8B-462C-BB8E-3B7B8E22B348}"/>
            </a:ext>
          </a:extLst>
        </xdr:cNvPr>
        <xdr:cNvSpPr txBox="1"/>
      </xdr:nvSpPr>
      <xdr:spPr>
        <a:xfrm>
          <a:off x="305858" y="1021292"/>
          <a:ext cx="9169497"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a:solidFill>
                <a:sysClr val="windowText" lastClr="000000"/>
              </a:solidFill>
              <a:effectLst/>
              <a:latin typeface="+mn-lt"/>
              <a:ea typeface="+mn-ea"/>
              <a:cs typeface="+mn-cs"/>
            </a:rPr>
            <a:t>CT - R1617 Ductless Heat Pump Planning</a:t>
          </a:r>
          <a:r>
            <a:rPr lang="en-US" sz="3200" b="1" baseline="0">
              <a:solidFill>
                <a:sysClr val="windowText" lastClr="000000"/>
              </a:solidFill>
              <a:effectLst/>
              <a:latin typeface="+mn-lt"/>
              <a:ea typeface="+mn-ea"/>
              <a:cs typeface="+mn-cs"/>
            </a:rPr>
            <a:t> Tool</a:t>
          </a:r>
        </a:p>
        <a:p>
          <a:endParaRPr lang="en-US" sz="2400"/>
        </a:p>
      </xdr:txBody>
    </xdr:sp>
    <xdr:clientData/>
  </xdr:twoCellAnchor>
  <xdr:twoCellAnchor editAs="oneCell">
    <xdr:from>
      <xdr:col>13</xdr:col>
      <xdr:colOff>285750</xdr:colOff>
      <xdr:row>0</xdr:row>
      <xdr:rowOff>31751</xdr:rowOff>
    </xdr:from>
    <xdr:to>
      <xdr:col>18</xdr:col>
      <xdr:colOff>433915</xdr:colOff>
      <xdr:row>6</xdr:row>
      <xdr:rowOff>3177</xdr:rowOff>
    </xdr:to>
    <xdr:pic>
      <xdr:nvPicPr>
        <xdr:cNvPr id="3" name="Picture 2">
          <a:extLst>
            <a:ext uri="{FF2B5EF4-FFF2-40B4-BE49-F238E27FC236}">
              <a16:creationId xmlns:a16="http://schemas.microsoft.com/office/drawing/2014/main" id="{2D599233-7CBE-4F3A-ABF3-FCED9525E4FB}"/>
            </a:ext>
          </a:extLst>
        </xdr:cNvPr>
        <xdr:cNvPicPr>
          <a:picLocks noChangeAspect="1"/>
        </xdr:cNvPicPr>
      </xdr:nvPicPr>
      <xdr:blipFill rotWithShape="1">
        <a:blip xmlns:r="http://schemas.openxmlformats.org/officeDocument/2006/relationships" r:embed="rId1"/>
        <a:srcRect l="3549" t="10308" r="3551" b="9297"/>
        <a:stretch/>
      </xdr:blipFill>
      <xdr:spPr>
        <a:xfrm>
          <a:off x="8265583" y="31751"/>
          <a:ext cx="3217332" cy="1114426"/>
        </a:xfrm>
        <a:prstGeom prst="rect">
          <a:avLst/>
        </a:prstGeom>
      </xdr:spPr>
    </xdr:pic>
    <xdr:clientData/>
  </xdr:twoCellAnchor>
  <xdr:twoCellAnchor>
    <xdr:from>
      <xdr:col>0</xdr:col>
      <xdr:colOff>314325</xdr:colOff>
      <xdr:row>8</xdr:row>
      <xdr:rowOff>28574</xdr:rowOff>
    </xdr:from>
    <xdr:to>
      <xdr:col>18</xdr:col>
      <xdr:colOff>352425</xdr:colOff>
      <xdr:row>46</xdr:row>
      <xdr:rowOff>105833</xdr:rowOff>
    </xdr:to>
    <xdr:sp macro="" textlink="">
      <xdr:nvSpPr>
        <xdr:cNvPr id="4" name="TextBox 3">
          <a:extLst>
            <a:ext uri="{FF2B5EF4-FFF2-40B4-BE49-F238E27FC236}">
              <a16:creationId xmlns:a16="http://schemas.microsoft.com/office/drawing/2014/main" id="{D97B1292-9CEC-4CF9-AAA2-7F024E71CF6A}"/>
            </a:ext>
          </a:extLst>
        </xdr:cNvPr>
        <xdr:cNvSpPr txBox="1"/>
      </xdr:nvSpPr>
      <xdr:spPr>
        <a:xfrm>
          <a:off x="314325" y="981074"/>
          <a:ext cx="11087100" cy="7316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This tool is designed to help energy-efficiency program planners and implementers in Connecticut explore how changes in equipment rebate levels and the price of alternate fuels will impact the participation in the ductless heat pump (DHP) initiative. The data used in the analysis that went in to this tool came from 2015 residential HVAC tracking data, a telephone survey of 90 customers that purchased a DHP and received a rebate, and other market research and technical reference manuals. For more details on the analysis and methodology of the calculations, please see the associated report.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This tool shows results for a current assumed starting point and a scenario that you develop. To create a scenario for comparison in this tool, use the 'Summary' tab to adjust the different input parameters. Adjustments made</a:t>
          </a:r>
          <a:r>
            <a:rPr lang="en-US" sz="1400" baseline="0">
              <a:solidFill>
                <a:schemeClr val="dk1"/>
              </a:solidFill>
              <a:effectLst/>
              <a:latin typeface="+mn-lt"/>
              <a:ea typeface="+mn-ea"/>
              <a:cs typeface="+mn-cs"/>
            </a:rPr>
            <a:t> on the 'Summary' tab will automatically be made on the 'Detailed Results' tab as well.</a:t>
          </a:r>
          <a:r>
            <a:rPr lang="en-US" sz="1400">
              <a:solidFill>
                <a:schemeClr val="dk1"/>
              </a:solidFill>
              <a:effectLst/>
              <a:latin typeface="+mn-lt"/>
              <a:ea typeface="+mn-ea"/>
              <a:cs typeface="+mn-cs"/>
            </a:rPr>
            <a:t>  There are three types of parameters that you can adjust to develop a scenario:</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	1. The starting number of program participants in the current assumed baseline. This tool assumes that the starting number of program 	</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participants is equal to the 2015 level of participation, which was 1,197 participants. The ‘% change in starting number of program 	    participants’ cell (G4) allows you to select a change factor to increase or decrease that starting level of participation. The results of the 	    scenario are compared to this current assumed starting point.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	2. The mix of types of homes that participate in the program. The 2015 mix of homes is based on the random sample of participants that 	    were selected for the survey. The home characteristics include single-family vs. multi-family, the type of heating fuel in the home prior 	    to DHP adoption, and the intended use of the DHP prior to the purchase. To change the mix of homes, manually adjust the ‘Revised 	    Mix’ cells</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(G9:G14), but make sure the total allocation of homes is 100%. The ‘Total’ cell (G15) will turn red if the allocation is not 	    exactly 100%. The adoption rates and savings factors differ based on the home characteristics.</a:t>
          </a: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	3. The scenario factors. This is the section that allows you to adjust the level of the rebate rebate and the real price of alternate fuels. 	    Choose an option in the ‘Select a Rate’ cells (G19:G20) to adjust the scenario. A 0% change means that the rebate or the price of 	    alternate fuel does not change from the current assumed scenario. A 50% rate means that the rebate or price increases by 50%, while 	    a</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-50% rate means that the rebate or price decreases by 50%. This model assumes that the impacts of the rebate and price of 	    alternate fuel are additive.</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input parameters are highlighted in yellow, while the results of the scenario that you choose are in green.  The 'Summary' tab also shows the high-level results of the chosen scenario. To see a more detailed breakdown of the results by the home characteristics, see the ‘Detailed Results’ tab. Positive impacts indicate savings associated with the chosen scenario, while negative impacts indicate load building. All levers that control the scenario are still located on the ‘Summary’ tab. Any cells that are not input parameters are locked for editing so that formulas and references do not get changed.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681037</xdr:colOff>
      <xdr:row>29</xdr:row>
      <xdr:rowOff>38100</xdr:rowOff>
    </xdr:from>
    <xdr:to>
      <xdr:col>4</xdr:col>
      <xdr:colOff>1756001</xdr:colOff>
      <xdr:row>48</xdr:row>
      <xdr:rowOff>76200</xdr:rowOff>
    </xdr:to>
    <xdr:graphicFrame macro="">
      <xdr:nvGraphicFramePr>
        <xdr:cNvPr id="2" name="Chart 1">
          <a:extLst>
            <a:ext uri="{FF2B5EF4-FFF2-40B4-BE49-F238E27FC236}">
              <a16:creationId xmlns:a16="http://schemas.microsoft.com/office/drawing/2014/main" id="{C2877FDA-B4AF-48CA-AF9B-4B3B3E6F5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11</xdr:col>
      <xdr:colOff>0</xdr:colOff>
      <xdr:row>5</xdr:row>
      <xdr:rowOff>161926</xdr:rowOff>
    </xdr:to>
    <xdr:pic>
      <xdr:nvPicPr>
        <xdr:cNvPr id="4" name="Picture 3">
          <a:extLst>
            <a:ext uri="{FF2B5EF4-FFF2-40B4-BE49-F238E27FC236}">
              <a16:creationId xmlns:a16="http://schemas.microsoft.com/office/drawing/2014/main" id="{6BC5B720-AE54-4347-A93B-AC5CA94C45D1}"/>
            </a:ext>
          </a:extLst>
        </xdr:cNvPr>
        <xdr:cNvPicPr>
          <a:picLocks noChangeAspect="1"/>
        </xdr:cNvPicPr>
      </xdr:nvPicPr>
      <xdr:blipFill rotWithShape="1">
        <a:blip xmlns:r="http://schemas.openxmlformats.org/officeDocument/2006/relationships" r:embed="rId2"/>
        <a:srcRect l="3549" t="10308" r="3551" b="9297"/>
        <a:stretch/>
      </xdr:blipFill>
      <xdr:spPr>
        <a:xfrm>
          <a:off x="13354050" y="0"/>
          <a:ext cx="2990850" cy="1114426"/>
        </a:xfrm>
        <a:prstGeom prst="rect">
          <a:avLst/>
        </a:prstGeom>
      </xdr:spPr>
    </xdr:pic>
    <xdr:clientData/>
  </xdr:twoCellAnchor>
  <xdr:twoCellAnchor>
    <xdr:from>
      <xdr:col>4</xdr:col>
      <xdr:colOff>1807029</xdr:colOff>
      <xdr:row>29</xdr:row>
      <xdr:rowOff>38099</xdr:rowOff>
    </xdr:from>
    <xdr:to>
      <xdr:col>8</xdr:col>
      <xdr:colOff>899352</xdr:colOff>
      <xdr:row>48</xdr:row>
      <xdr:rowOff>76199</xdr:rowOff>
    </xdr:to>
    <xdr:graphicFrame macro="">
      <xdr:nvGraphicFramePr>
        <xdr:cNvPr id="5" name="Chart 4">
          <a:extLst>
            <a:ext uri="{FF2B5EF4-FFF2-40B4-BE49-F238E27FC236}">
              <a16:creationId xmlns:a16="http://schemas.microsoft.com/office/drawing/2014/main" id="{94BE9558-A42B-41CE-9A51-18F890D3B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946097</xdr:colOff>
      <xdr:row>29</xdr:row>
      <xdr:rowOff>29616</xdr:rowOff>
    </xdr:from>
    <xdr:to>
      <xdr:col>13</xdr:col>
      <xdr:colOff>136072</xdr:colOff>
      <xdr:row>48</xdr:row>
      <xdr:rowOff>67716</xdr:rowOff>
    </xdr:to>
    <xdr:graphicFrame macro="">
      <xdr:nvGraphicFramePr>
        <xdr:cNvPr id="6" name="Chart 5">
          <a:extLst>
            <a:ext uri="{FF2B5EF4-FFF2-40B4-BE49-F238E27FC236}">
              <a16:creationId xmlns:a16="http://schemas.microsoft.com/office/drawing/2014/main" id="{DFD73BB7-8245-4D22-8B76-83B350D6E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38100</xdr:rowOff>
    </xdr:from>
    <xdr:to>
      <xdr:col>4</xdr:col>
      <xdr:colOff>1728107</xdr:colOff>
      <xdr:row>47</xdr:row>
      <xdr:rowOff>76200</xdr:rowOff>
    </xdr:to>
    <xdr:graphicFrame macro="">
      <xdr:nvGraphicFramePr>
        <xdr:cNvPr id="5" name="Chart 4">
          <a:extLst>
            <a:ext uri="{FF2B5EF4-FFF2-40B4-BE49-F238E27FC236}">
              <a16:creationId xmlns:a16="http://schemas.microsoft.com/office/drawing/2014/main" id="{761CB5D8-C271-400C-A14B-8F858783B4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485775</xdr:colOff>
      <xdr:row>3</xdr:row>
      <xdr:rowOff>171450</xdr:rowOff>
    </xdr:from>
    <xdr:to>
      <xdr:col>14</xdr:col>
      <xdr:colOff>1114425</xdr:colOff>
      <xdr:row>8</xdr:row>
      <xdr:rowOff>333376</xdr:rowOff>
    </xdr:to>
    <xdr:pic>
      <xdr:nvPicPr>
        <xdr:cNvPr id="6" name="Picture 5">
          <a:extLst>
            <a:ext uri="{FF2B5EF4-FFF2-40B4-BE49-F238E27FC236}">
              <a16:creationId xmlns:a16="http://schemas.microsoft.com/office/drawing/2014/main" id="{FEDC2710-56AB-4DB8-8D54-94B055FFF4A9}"/>
            </a:ext>
          </a:extLst>
        </xdr:cNvPr>
        <xdr:cNvPicPr>
          <a:picLocks noChangeAspect="1"/>
        </xdr:cNvPicPr>
      </xdr:nvPicPr>
      <xdr:blipFill rotWithShape="1">
        <a:blip xmlns:r="http://schemas.openxmlformats.org/officeDocument/2006/relationships" r:embed="rId2"/>
        <a:srcRect l="3549" t="10308" r="3551" b="9297"/>
        <a:stretch/>
      </xdr:blipFill>
      <xdr:spPr>
        <a:xfrm>
          <a:off x="13249275" y="742950"/>
          <a:ext cx="2990850" cy="1114426"/>
        </a:xfrm>
        <a:prstGeom prst="rect">
          <a:avLst/>
        </a:prstGeom>
      </xdr:spPr>
    </xdr:pic>
    <xdr:clientData/>
  </xdr:twoCellAnchor>
  <xdr:twoCellAnchor>
    <xdr:from>
      <xdr:col>4</xdr:col>
      <xdr:colOff>1796143</xdr:colOff>
      <xdr:row>28</xdr:row>
      <xdr:rowOff>40822</xdr:rowOff>
    </xdr:from>
    <xdr:to>
      <xdr:col>8</xdr:col>
      <xdr:colOff>857250</xdr:colOff>
      <xdr:row>47</xdr:row>
      <xdr:rowOff>81644</xdr:rowOff>
    </xdr:to>
    <xdr:graphicFrame macro="">
      <xdr:nvGraphicFramePr>
        <xdr:cNvPr id="7" name="Chart 6">
          <a:extLst>
            <a:ext uri="{FF2B5EF4-FFF2-40B4-BE49-F238E27FC236}">
              <a16:creationId xmlns:a16="http://schemas.microsoft.com/office/drawing/2014/main" id="{8F92E9AE-4D3B-45BE-AFC1-CA327DD48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938893</xdr:colOff>
      <xdr:row>28</xdr:row>
      <xdr:rowOff>40822</xdr:rowOff>
    </xdr:from>
    <xdr:to>
      <xdr:col>12</xdr:col>
      <xdr:colOff>775608</xdr:colOff>
      <xdr:row>47</xdr:row>
      <xdr:rowOff>78922</xdr:rowOff>
    </xdr:to>
    <xdr:graphicFrame macro="">
      <xdr:nvGraphicFramePr>
        <xdr:cNvPr id="8" name="Chart 7">
          <a:extLst>
            <a:ext uri="{FF2B5EF4-FFF2-40B4-BE49-F238E27FC236}">
              <a16:creationId xmlns:a16="http://schemas.microsoft.com/office/drawing/2014/main" id="{C432B64B-5021-4676-BD47-CAA0B29A8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DNV GL primary colors">
      <a:dk1>
        <a:sysClr val="windowText" lastClr="000000"/>
      </a:dk1>
      <a:lt1>
        <a:sysClr val="window" lastClr="FFFFFF"/>
      </a:lt1>
      <a:dk2>
        <a:srgbClr val="003591"/>
      </a:dk2>
      <a:lt2>
        <a:srgbClr val="FFFFFF"/>
      </a:lt2>
      <a:accent1>
        <a:srgbClr val="003591"/>
      </a:accent1>
      <a:accent2>
        <a:srgbClr val="3F9C35"/>
      </a:accent2>
      <a:accent3>
        <a:srgbClr val="99D6F0"/>
      </a:accent3>
      <a:accent4>
        <a:srgbClr val="0F204B"/>
      </a:accent4>
      <a:accent5>
        <a:srgbClr val="009FDA"/>
      </a:accent5>
      <a:accent6>
        <a:srgbClr val="E5F5FB"/>
      </a:accent6>
      <a:hlink>
        <a:srgbClr val="003591"/>
      </a:hlink>
      <a:folHlink>
        <a:srgbClr val="33B2E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50"/>
  <sheetViews>
    <sheetView topLeftCell="A4" zoomScale="80" zoomScaleNormal="80" workbookViewId="0">
      <selection activeCell="T1" sqref="T1:W1048576"/>
    </sheetView>
  </sheetViews>
  <sheetFormatPr baseColWidth="10" defaultColWidth="0" defaultRowHeight="15" zeroHeight="1" x14ac:dyDescent="0.2"/>
  <cols>
    <col min="1" max="19" width="9.1640625" style="108" customWidth="1"/>
    <col min="20" max="23" width="9.1640625" style="108" hidden="1" customWidth="1"/>
    <col min="24" max="16384" width="9.1640625" style="108"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sheet="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N65"/>
  <sheetViews>
    <sheetView showGridLines="0" topLeftCell="B1" zoomScale="85" zoomScaleNormal="85" workbookViewId="0">
      <selection activeCell="M11" sqref="M11"/>
    </sheetView>
  </sheetViews>
  <sheetFormatPr baseColWidth="10" defaultColWidth="0" defaultRowHeight="0" customHeight="1" zeroHeight="1" x14ac:dyDescent="0.2"/>
  <cols>
    <col min="1" max="1" width="10.6640625" style="82" hidden="1" customWidth="1"/>
    <col min="2" max="2" width="10.6640625" style="82" customWidth="1"/>
    <col min="3" max="3" width="15.83203125" style="82" customWidth="1"/>
    <col min="4" max="4" width="25.6640625" style="82" bestFit="1" customWidth="1"/>
    <col min="5" max="5" width="32.33203125" style="82" bestFit="1" customWidth="1"/>
    <col min="6" max="9" width="16.6640625" style="82" customWidth="1"/>
    <col min="10" max="12" width="17.6640625" style="82" customWidth="1"/>
    <col min="13" max="14" width="10.6640625" style="82" customWidth="1"/>
    <col min="15" max="16384" width="6.33203125" style="82" hidden="1"/>
  </cols>
  <sheetData>
    <row r="1" spans="3:11" s="79" customFormat="1" ht="15" x14ac:dyDescent="0.2">
      <c r="F1" s="80"/>
    </row>
    <row r="2" spans="3:11" s="79" customFormat="1" ht="15" x14ac:dyDescent="0.2">
      <c r="C2" s="100"/>
      <c r="D2" s="96"/>
      <c r="E2" s="117" t="s">
        <v>69</v>
      </c>
      <c r="F2" s="117"/>
      <c r="G2" s="117"/>
    </row>
    <row r="3" spans="3:11" s="79" customFormat="1" ht="15" x14ac:dyDescent="0.2">
      <c r="C3" s="124" t="s">
        <v>78</v>
      </c>
      <c r="D3" s="124"/>
      <c r="E3" s="124"/>
      <c r="F3" s="124"/>
      <c r="G3" s="104">
        <v>1197</v>
      </c>
      <c r="I3" s="81"/>
      <c r="J3" s="82" t="s">
        <v>37</v>
      </c>
    </row>
    <row r="4" spans="3:11" s="79" customFormat="1" ht="15" customHeight="1" x14ac:dyDescent="0.2">
      <c r="C4" s="125" t="s">
        <v>79</v>
      </c>
      <c r="D4" s="125"/>
      <c r="E4" s="125"/>
      <c r="F4" s="125"/>
      <c r="G4" s="103">
        <v>0</v>
      </c>
      <c r="I4" s="83"/>
      <c r="J4" s="82" t="s">
        <v>35</v>
      </c>
      <c r="K4" s="84"/>
    </row>
    <row r="5" spans="3:11" s="79" customFormat="1" ht="15" x14ac:dyDescent="0.2">
      <c r="C5" s="126" t="s">
        <v>82</v>
      </c>
      <c r="D5" s="126"/>
      <c r="E5" s="126"/>
      <c r="F5" s="126"/>
      <c r="G5" s="104">
        <f>G3*SUMIF('Scenario Options (hidden)'!B3:B11,G4,'Scenario Options (hidden)'!A3:A11)</f>
        <v>1197</v>
      </c>
      <c r="J5" s="84"/>
      <c r="K5" s="84"/>
    </row>
    <row r="6" spans="3:11" s="79" customFormat="1" ht="15" x14ac:dyDescent="0.2">
      <c r="F6" s="85"/>
      <c r="G6" s="85"/>
      <c r="H6" s="85"/>
      <c r="I6" s="85"/>
      <c r="J6" s="85"/>
      <c r="K6" s="85"/>
    </row>
    <row r="7" spans="3:11" s="79" customFormat="1" ht="15" x14ac:dyDescent="0.2">
      <c r="C7" s="100"/>
      <c r="D7" s="117" t="s">
        <v>77</v>
      </c>
      <c r="E7" s="117"/>
      <c r="F7" s="117"/>
      <c r="G7" s="117"/>
      <c r="H7" s="80"/>
      <c r="I7" s="80"/>
      <c r="J7" s="80"/>
    </row>
    <row r="8" spans="3:11" s="79" customFormat="1" ht="42" customHeight="1" x14ac:dyDescent="0.2">
      <c r="C8" s="86" t="s">
        <v>3</v>
      </c>
      <c r="D8" s="87" t="s">
        <v>55</v>
      </c>
      <c r="E8" s="86" t="s">
        <v>52</v>
      </c>
      <c r="F8" s="88" t="s">
        <v>59</v>
      </c>
      <c r="G8" s="86" t="s">
        <v>76</v>
      </c>
      <c r="J8" s="80"/>
    </row>
    <row r="9" spans="3:11" s="79" customFormat="1" ht="15" customHeight="1" x14ac:dyDescent="0.2">
      <c r="C9" s="89" t="s">
        <v>4</v>
      </c>
      <c r="D9" s="90" t="s">
        <v>48</v>
      </c>
      <c r="E9" s="89" t="s">
        <v>54</v>
      </c>
      <c r="F9" s="91">
        <v>4.4444444444444446E-2</v>
      </c>
      <c r="G9" s="105">
        <f>F9</f>
        <v>4.4444444444444446E-2</v>
      </c>
      <c r="H9" s="114"/>
    </row>
    <row r="10" spans="3:11" ht="15" customHeight="1" x14ac:dyDescent="0.2">
      <c r="C10" s="89" t="s">
        <v>4</v>
      </c>
      <c r="D10" s="92" t="s">
        <v>0</v>
      </c>
      <c r="E10" s="89" t="s">
        <v>54</v>
      </c>
      <c r="F10" s="91">
        <v>2.2222222222222223E-2</v>
      </c>
      <c r="G10" s="105">
        <f t="shared" ref="G10:G14" si="0">F10</f>
        <v>2.2222222222222223E-2</v>
      </c>
      <c r="H10" s="114"/>
    </row>
    <row r="11" spans="3:11" ht="15" customHeight="1" x14ac:dyDescent="0.2">
      <c r="C11" s="89" t="s">
        <v>4</v>
      </c>
      <c r="D11" s="92" t="s">
        <v>48</v>
      </c>
      <c r="E11" s="89" t="s">
        <v>53</v>
      </c>
      <c r="F11" s="91">
        <v>1.1111111111111112E-2</v>
      </c>
      <c r="G11" s="105">
        <f t="shared" si="0"/>
        <v>1.1111111111111112E-2</v>
      </c>
      <c r="H11" s="114"/>
    </row>
    <row r="12" spans="3:11" ht="15" customHeight="1" x14ac:dyDescent="0.2">
      <c r="C12" s="89" t="s">
        <v>1</v>
      </c>
      <c r="D12" s="92" t="s">
        <v>48</v>
      </c>
      <c r="E12" s="89" t="s">
        <v>54</v>
      </c>
      <c r="F12" s="91">
        <v>0.53333333333333333</v>
      </c>
      <c r="G12" s="105">
        <f t="shared" si="0"/>
        <v>0.53333333333333333</v>
      </c>
      <c r="H12" s="114"/>
    </row>
    <row r="13" spans="3:11" ht="15" x14ac:dyDescent="0.2">
      <c r="C13" s="89" t="s">
        <v>1</v>
      </c>
      <c r="D13" s="92" t="s">
        <v>0</v>
      </c>
      <c r="E13" s="89" t="s">
        <v>54</v>
      </c>
      <c r="F13" s="91">
        <v>0.13333333333333333</v>
      </c>
      <c r="G13" s="105">
        <f t="shared" si="0"/>
        <v>0.13333333333333333</v>
      </c>
      <c r="H13" s="114"/>
    </row>
    <row r="14" spans="3:11" ht="15" x14ac:dyDescent="0.2">
      <c r="C14" s="89" t="s">
        <v>1</v>
      </c>
      <c r="D14" s="92" t="s">
        <v>48</v>
      </c>
      <c r="E14" s="89" t="s">
        <v>53</v>
      </c>
      <c r="F14" s="91">
        <v>0.25555555555555554</v>
      </c>
      <c r="G14" s="105">
        <f t="shared" si="0"/>
        <v>0.25555555555555554</v>
      </c>
      <c r="H14" s="114"/>
    </row>
    <row r="15" spans="3:11" ht="15" x14ac:dyDescent="0.2">
      <c r="C15" s="93" t="s">
        <v>8</v>
      </c>
      <c r="D15" s="92"/>
      <c r="E15" s="93"/>
      <c r="F15" s="94">
        <f>SUM(F9:F14)</f>
        <v>1</v>
      </c>
      <c r="G15" s="94">
        <f>SUM(G9:G14)</f>
        <v>1</v>
      </c>
    </row>
    <row r="16" spans="3:11" ht="15" x14ac:dyDescent="0.2">
      <c r="G16" s="82" t="s">
        <v>43</v>
      </c>
    </row>
    <row r="17" spans="3:9" ht="15" x14ac:dyDescent="0.2">
      <c r="C17" s="101"/>
      <c r="D17" s="96"/>
      <c r="E17" s="96"/>
      <c r="F17" s="117" t="s">
        <v>31</v>
      </c>
      <c r="G17" s="117"/>
    </row>
    <row r="18" spans="3:9" ht="15" x14ac:dyDescent="0.2">
      <c r="C18" s="121" t="str">
        <f>'Detailed Results'!C5:E5</f>
        <v>Scenario Factor</v>
      </c>
      <c r="D18" s="122"/>
      <c r="E18" s="122"/>
      <c r="F18" s="123"/>
      <c r="G18" s="95" t="s">
        <v>7</v>
      </c>
    </row>
    <row r="19" spans="3:9" ht="15" x14ac:dyDescent="0.2">
      <c r="C19" s="120" t="s">
        <v>81</v>
      </c>
      <c r="D19" s="120"/>
      <c r="E19" s="120"/>
      <c r="F19" s="120"/>
      <c r="G19" s="78">
        <v>0.3</v>
      </c>
    </row>
    <row r="20" spans="3:9" ht="15" x14ac:dyDescent="0.2">
      <c r="C20" s="120" t="s">
        <v>80</v>
      </c>
      <c r="D20" s="120"/>
      <c r="E20" s="120"/>
      <c r="F20" s="120"/>
      <c r="G20" s="78">
        <v>0.33</v>
      </c>
    </row>
    <row r="21" spans="3:9" ht="15" x14ac:dyDescent="0.2"/>
    <row r="22" spans="3:9" ht="15" x14ac:dyDescent="0.2">
      <c r="C22" s="119" t="s">
        <v>44</v>
      </c>
      <c r="D22" s="119"/>
      <c r="E22" s="119"/>
      <c r="F22" s="119"/>
      <c r="G22" s="119"/>
      <c r="H22" s="119"/>
      <c r="I22" s="119"/>
    </row>
    <row r="23" spans="3:9" ht="30" customHeight="1" x14ac:dyDescent="0.2">
      <c r="C23" s="96"/>
      <c r="D23" s="96"/>
      <c r="E23" s="97" t="s">
        <v>70</v>
      </c>
      <c r="F23" s="97" t="s">
        <v>84</v>
      </c>
      <c r="G23" s="97" t="s">
        <v>85</v>
      </c>
      <c r="H23" s="97" t="s">
        <v>83</v>
      </c>
      <c r="I23" s="97" t="s">
        <v>86</v>
      </c>
    </row>
    <row r="24" spans="3:9" ht="30" customHeight="1" x14ac:dyDescent="0.2">
      <c r="C24" s="118" t="s">
        <v>58</v>
      </c>
      <c r="D24" s="118"/>
      <c r="E24" s="113">
        <f>'Detailed Results'!G27</f>
        <v>1197</v>
      </c>
      <c r="F24" s="98">
        <f>'Detailed Results'!H27</f>
        <v>-550646.60000000009</v>
      </c>
      <c r="G24" s="98">
        <f>F24/E24</f>
        <v>-460.0222222222223</v>
      </c>
      <c r="H24" s="98">
        <f>'Detailed Results'!I27</f>
        <v>151021.5</v>
      </c>
      <c r="I24" s="98">
        <f>H24/E24</f>
        <v>126.16666666666667</v>
      </c>
    </row>
    <row r="25" spans="3:9" ht="30" customHeight="1" x14ac:dyDescent="0.2">
      <c r="C25" s="118" t="s">
        <v>32</v>
      </c>
      <c r="D25" s="118"/>
      <c r="E25" s="99">
        <f>'Detailed Results'!K27</f>
        <v>1716.2673317662054</v>
      </c>
      <c r="F25" s="99">
        <f>'Detailed Results'!L27</f>
        <v>-806380.61460436299</v>
      </c>
      <c r="G25" s="99">
        <f>F25/E25</f>
        <v>-469.84557689769645</v>
      </c>
      <c r="H25" s="99">
        <f>'Detailed Results'!M27</f>
        <v>216020.53475799278</v>
      </c>
      <c r="I25" s="99">
        <f>H25/E25</f>
        <v>125.86648406089901</v>
      </c>
    </row>
    <row r="26" spans="3:9" ht="30" customHeight="1" x14ac:dyDescent="0.2">
      <c r="C26" s="118" t="s">
        <v>33</v>
      </c>
      <c r="D26" s="118"/>
      <c r="E26" s="99">
        <f>E25-E24</f>
        <v>519.26733176620542</v>
      </c>
      <c r="F26" s="99">
        <f>F25-F24</f>
        <v>-255734.01460436289</v>
      </c>
      <c r="G26" s="99">
        <f>G25-G24</f>
        <v>-9.8233546754741496</v>
      </c>
      <c r="H26" s="99">
        <f>H25-H24</f>
        <v>64999.034757992777</v>
      </c>
      <c r="I26" s="99">
        <f>I25-I24</f>
        <v>-0.30018260576765954</v>
      </c>
    </row>
    <row r="27" spans="3:9" ht="30" customHeight="1" x14ac:dyDescent="0.2">
      <c r="C27" s="118" t="s">
        <v>36</v>
      </c>
      <c r="D27" s="118"/>
      <c r="E27" s="99">
        <f>E26/E24</f>
        <v>0.43380729470860935</v>
      </c>
      <c r="F27" s="99">
        <f>F26/F24</f>
        <v>0.464424940795717</v>
      </c>
      <c r="G27" s="99">
        <f t="shared" ref="G27:I27" si="1">G26/G24</f>
        <v>2.1354087261307986E-2</v>
      </c>
      <c r="H27" s="99">
        <f t="shared" si="1"/>
        <v>0.43039590229200991</v>
      </c>
      <c r="I27" s="99">
        <f t="shared" si="1"/>
        <v>-2.3792544710778828E-3</v>
      </c>
    </row>
    <row r="28" spans="3:9" ht="15" x14ac:dyDescent="0.2"/>
    <row r="29" spans="3:9" ht="15" x14ac:dyDescent="0.2"/>
    <row r="30" spans="3:9" ht="15" x14ac:dyDescent="0.2"/>
    <row r="31" spans="3:9" ht="15" x14ac:dyDescent="0.2"/>
    <row r="32" spans="3:9" ht="15" x14ac:dyDescent="0.2"/>
    <row r="33" ht="15" x14ac:dyDescent="0.2"/>
    <row r="34" ht="15" x14ac:dyDescent="0.2"/>
    <row r="35" ht="15" x14ac:dyDescent="0.2"/>
    <row r="36" ht="15" x14ac:dyDescent="0.2"/>
    <row r="37" ht="15" x14ac:dyDescent="0.2"/>
    <row r="38" ht="15" x14ac:dyDescent="0.2"/>
    <row r="39" ht="15" x14ac:dyDescent="0.2"/>
    <row r="40" ht="15" x14ac:dyDescent="0.2"/>
    <row r="41" ht="15" x14ac:dyDescent="0.2"/>
    <row r="42" ht="15" x14ac:dyDescent="0.2"/>
    <row r="43" ht="15" x14ac:dyDescent="0.2"/>
    <row r="44" ht="15" x14ac:dyDescent="0.2"/>
    <row r="45" ht="15" x14ac:dyDescent="0.2"/>
    <row r="46" ht="15" x14ac:dyDescent="0.2"/>
    <row r="47" ht="15" x14ac:dyDescent="0.2"/>
    <row r="48" ht="15" x14ac:dyDescent="0.2"/>
    <row r="49" ht="15" x14ac:dyDescent="0.2"/>
    <row r="50" ht="15" x14ac:dyDescent="0.2"/>
    <row r="51" ht="15" hidden="1" x14ac:dyDescent="0.2"/>
    <row r="52" ht="15" hidden="1" x14ac:dyDescent="0.2"/>
    <row r="53" ht="15" hidden="1" x14ac:dyDescent="0.2"/>
    <row r="54" ht="15" hidden="1" x14ac:dyDescent="0.2"/>
    <row r="55" ht="15" hidden="1" x14ac:dyDescent="0.2"/>
    <row r="56" ht="15" hidden="1" x14ac:dyDescent="0.2"/>
    <row r="57" ht="15" hidden="1" x14ac:dyDescent="0.2"/>
    <row r="58" ht="15" hidden="1" x14ac:dyDescent="0.2"/>
    <row r="59" ht="15" hidden="1" x14ac:dyDescent="0.2"/>
    <row r="60" ht="15" hidden="1" x14ac:dyDescent="0.2"/>
    <row r="61" ht="15" hidden="1" x14ac:dyDescent="0.2"/>
    <row r="62" ht="15" hidden="1" x14ac:dyDescent="0.2"/>
    <row r="63" ht="15" x14ac:dyDescent="0.2"/>
    <row r="64" ht="15" x14ac:dyDescent="0.2"/>
    <row r="65" ht="15" x14ac:dyDescent="0.2"/>
  </sheetData>
  <sheetProtection selectLockedCells="1"/>
  <mergeCells count="14">
    <mergeCell ref="C3:F3"/>
    <mergeCell ref="C4:F4"/>
    <mergeCell ref="C5:F5"/>
    <mergeCell ref="E2:G2"/>
    <mergeCell ref="D7:G7"/>
    <mergeCell ref="F17:G17"/>
    <mergeCell ref="C26:D26"/>
    <mergeCell ref="C27:D27"/>
    <mergeCell ref="C24:D24"/>
    <mergeCell ref="C22:I22"/>
    <mergeCell ref="C20:F20"/>
    <mergeCell ref="C18:F18"/>
    <mergeCell ref="C19:F19"/>
    <mergeCell ref="C25:D25"/>
  </mergeCells>
  <conditionalFormatting sqref="G15">
    <cfRule type="cellIs" dxfId="1" priority="1" operator="lessThan">
      <formula>0.999</formula>
    </cfRule>
    <cfRule type="cellIs" dxfId="0" priority="2" operator="greaterThan">
      <formula>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'Scenario Options (hidden)'!$B$25:$B$33</xm:f>
          </x14:formula1>
          <xm:sqref>G19</xm:sqref>
        </x14:dataValidation>
        <x14:dataValidation type="list" allowBlank="1" showInputMessage="1" showErrorMessage="1" xr:uid="{00000000-0002-0000-0100-000001000000}">
          <x14:formula1>
            <xm:f>'Scenario Options (hidden)'!$B$3:$B$11</xm:f>
          </x14:formula1>
          <xm:sqref>G4</xm:sqref>
        </x14:dataValidation>
        <x14:dataValidation type="list" allowBlank="1" showInputMessage="1" showErrorMessage="1" xr:uid="{00000000-0002-0000-0100-000002000000}">
          <x14:formula1>
            <xm:f>'Scenario Options (hidden)'!$B$36:$B$44</xm:f>
          </x14:formula1>
          <xm:sqref>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W75"/>
  <sheetViews>
    <sheetView topLeftCell="B4" zoomScale="85" zoomScaleNormal="85" workbookViewId="0">
      <selection activeCell="I8" sqref="I8"/>
    </sheetView>
  </sheetViews>
  <sheetFormatPr baseColWidth="10" defaultColWidth="0" defaultRowHeight="15" zeroHeight="1" x14ac:dyDescent="0.2"/>
  <cols>
    <col min="1" max="1" width="10.6640625" style="4" hidden="1" customWidth="1"/>
    <col min="2" max="2" width="10.6640625" style="4" customWidth="1"/>
    <col min="3" max="4" width="15.83203125" style="4" customWidth="1"/>
    <col min="5" max="5" width="31" style="4" bestFit="1" customWidth="1"/>
    <col min="6" max="6" width="16.6640625" style="4" customWidth="1"/>
    <col min="7" max="7" width="17.1640625" style="5" customWidth="1"/>
    <col min="8" max="15" width="17.6640625" style="4" customWidth="1"/>
    <col min="16" max="17" width="10.6640625" style="4" hidden="1" customWidth="1"/>
    <col min="18" max="23" width="0" style="4" hidden="1" customWidth="1"/>
    <col min="24" max="16384" width="9.1640625" style="4" hidden="1"/>
  </cols>
  <sheetData>
    <row r="1" spans="1:22" hidden="1" x14ac:dyDescent="0.2">
      <c r="A1" s="3"/>
    </row>
    <row r="2" spans="1:22" hidden="1" x14ac:dyDescent="0.2">
      <c r="A2" s="3"/>
    </row>
    <row r="3" spans="1:22" hidden="1" x14ac:dyDescent="0.2"/>
    <row r="4" spans="1:22" x14ac:dyDescent="0.2"/>
    <row r="5" spans="1:22" x14ac:dyDescent="0.2">
      <c r="C5" s="132" t="s">
        <v>34</v>
      </c>
      <c r="D5" s="132"/>
      <c r="E5" s="132"/>
      <c r="F5" s="24" t="s">
        <v>40</v>
      </c>
      <c r="G5" s="15"/>
      <c r="H5" s="15"/>
      <c r="I5" s="15"/>
      <c r="J5" s="15"/>
      <c r="K5" s="15"/>
      <c r="L5" s="15"/>
      <c r="M5" s="15"/>
      <c r="N5" s="15"/>
    </row>
    <row r="6" spans="1:22" x14ac:dyDescent="0.2">
      <c r="C6" s="133" t="str">
        <f>Summary!C19:F19</f>
        <v>% change in the rebate, compared to 2015 rebate</v>
      </c>
      <c r="D6" s="133"/>
      <c r="E6" s="133"/>
      <c r="F6" s="38">
        <f>Summary!G19</f>
        <v>0.3</v>
      </c>
      <c r="G6" s="16"/>
      <c r="H6" s="16"/>
      <c r="I6" s="16"/>
      <c r="J6" s="16"/>
      <c r="K6" s="16"/>
      <c r="L6" s="16"/>
      <c r="M6" s="16"/>
      <c r="N6" s="16"/>
    </row>
    <row r="7" spans="1:22" x14ac:dyDescent="0.2">
      <c r="C7" s="133" t="str">
        <f>Summary!C20:F20</f>
        <v xml:space="preserve">% change in the real price of alternate fuels, compared to 2015 </v>
      </c>
      <c r="D7" s="133"/>
      <c r="E7" s="133"/>
      <c r="F7" s="38">
        <f>Summary!G20</f>
        <v>0.33</v>
      </c>
      <c r="G7" s="17"/>
      <c r="H7" s="17"/>
      <c r="I7" s="17"/>
      <c r="J7" s="17"/>
      <c r="K7" s="17"/>
      <c r="L7" s="17"/>
      <c r="M7" s="17"/>
      <c r="N7" s="17"/>
    </row>
    <row r="8" spans="1:22" x14ac:dyDescent="0.2">
      <c r="C8" s="11"/>
      <c r="D8" s="11"/>
      <c r="E8" s="11"/>
      <c r="F8" s="12"/>
      <c r="H8" s="5"/>
      <c r="I8" s="5"/>
      <c r="J8" s="5"/>
      <c r="K8" s="5"/>
    </row>
    <row r="9" spans="1:22" ht="30.75" customHeight="1" x14ac:dyDescent="0.2">
      <c r="C9" s="134" t="s">
        <v>71</v>
      </c>
      <c r="D9" s="134"/>
      <c r="E9" s="134"/>
      <c r="F9" s="25">
        <f>Summary!G5</f>
        <v>1197</v>
      </c>
      <c r="H9" s="5"/>
      <c r="I9" s="5"/>
      <c r="J9" s="5"/>
      <c r="K9" s="5"/>
    </row>
    <row r="10" spans="1:22" x14ac:dyDescent="0.2">
      <c r="G10" s="6"/>
    </row>
    <row r="11" spans="1:22" x14ac:dyDescent="0.2">
      <c r="C11" s="135" t="s">
        <v>24</v>
      </c>
      <c r="D11" s="136"/>
      <c r="E11" s="136"/>
      <c r="F11" s="136"/>
      <c r="G11" s="136"/>
      <c r="H11" s="136"/>
      <c r="I11" s="136"/>
      <c r="J11" s="136"/>
      <c r="K11" s="137"/>
      <c r="L11" s="35"/>
      <c r="M11" s="23"/>
      <c r="N11" s="23"/>
    </row>
    <row r="12" spans="1:22" ht="48" x14ac:dyDescent="0.2">
      <c r="C12" s="51" t="s">
        <v>3</v>
      </c>
      <c r="D12" s="51" t="s">
        <v>55</v>
      </c>
      <c r="E12" s="51" t="s">
        <v>52</v>
      </c>
      <c r="F12" s="14" t="s">
        <v>5</v>
      </c>
      <c r="G12" s="26" t="s">
        <v>72</v>
      </c>
      <c r="H12" s="13" t="s">
        <v>73</v>
      </c>
      <c r="I12" s="13" t="s">
        <v>74</v>
      </c>
      <c r="J12" s="29" t="s">
        <v>75</v>
      </c>
      <c r="K12" s="13" t="s">
        <v>60</v>
      </c>
      <c r="L12" s="20"/>
      <c r="M12" s="20"/>
    </row>
    <row r="13" spans="1:22" x14ac:dyDescent="0.2">
      <c r="C13" s="34" t="s">
        <v>4</v>
      </c>
      <c r="D13" s="34" t="s">
        <v>45</v>
      </c>
      <c r="E13" s="34" t="s">
        <v>45</v>
      </c>
      <c r="F13" s="102">
        <f>SUM(Summary!G9:G11)</f>
        <v>7.7777777777777779E-2</v>
      </c>
      <c r="G13" s="27">
        <f>($F$9*F13)</f>
        <v>93.100000000000009</v>
      </c>
      <c r="H13" s="46">
        <f>((('Calculations (hidden)'!O16*'MF Weights (hidden)'!E3)+('Calculations (hidden)'!O17*'MF Weights (hidden)'!E4)+('Calculations (hidden)'!O18*'MF Weights (hidden)'!E5))*$G$13)-$G$13</f>
        <v>10.30229744310266</v>
      </c>
      <c r="I13" s="46">
        <f>((('Calculations (hidden)'!O27*'MF Weights (hidden)'!E3)+('Calculations (hidden)'!O28*'MF Weights (hidden)'!E4)+('Calculations (hidden)'!O29*'MF Weights (hidden)'!E5))*$G$13)-$G$13</f>
        <v>5.5776773484536761</v>
      </c>
      <c r="J13" s="30">
        <f>SUM('Detailed Results'!G13:I13)</f>
        <v>108.97997479155634</v>
      </c>
      <c r="K13" s="7">
        <f>IF(G13&gt;0,(J13-G13)/G13,0)</f>
        <v>0.17056900957633012</v>
      </c>
      <c r="L13" s="21"/>
      <c r="M13" s="21"/>
      <c r="N13" s="42"/>
      <c r="O13" s="43"/>
      <c r="P13" s="43"/>
      <c r="Q13" s="43"/>
      <c r="R13" s="43"/>
      <c r="S13" s="43"/>
      <c r="T13" s="43"/>
      <c r="U13" s="43"/>
      <c r="V13" s="43"/>
    </row>
    <row r="14" spans="1:22" x14ac:dyDescent="0.2">
      <c r="C14" s="49" t="s">
        <v>1</v>
      </c>
      <c r="D14" s="49" t="s">
        <v>48</v>
      </c>
      <c r="E14" s="49" t="s">
        <v>54</v>
      </c>
      <c r="F14" s="7">
        <f>Summary!G12</f>
        <v>0.53333333333333333</v>
      </c>
      <c r="G14" s="27">
        <f t="shared" ref="G14:G16" si="0">$F$9*F14</f>
        <v>638.4</v>
      </c>
      <c r="H14" s="8">
        <f>(G14*SUMIFS('Calculations (hidden)'!$O$15:$O$21,'Calculations (hidden)'!$C$15:$C$21,'Detailed Results'!C14,'Calculations (hidden)'!$D$15:$D$21,'Detailed Results'!D14,'Calculations (hidden)'!$E$15:$E$21,'Detailed Results'!E14))-G14</f>
        <v>272.71145091452161</v>
      </c>
      <c r="I14" s="8">
        <f>(G14*SUMIFS('Calculations (hidden)'!$O$26:$O$32,'Calculations (hidden)'!$C$26:$C$32,'Detailed Results'!C14,'Calculations (hidden)'!$D$26:$D$32,'Detailed Results'!D14,'Calculations (hidden)'!$E$26:$E$32,'Detailed Results'!E14))-G14</f>
        <v>64.04673266059558</v>
      </c>
      <c r="J14" s="30">
        <f>SUM('Detailed Results'!G14:I14)</f>
        <v>975.15818357511716</v>
      </c>
      <c r="K14" s="7">
        <f>IF(G14&gt;0,(J14-G14)/G14,0)</f>
        <v>0.52750342038708831</v>
      </c>
      <c r="L14" s="21"/>
      <c r="M14" s="21"/>
      <c r="N14" s="43"/>
      <c r="O14" s="43"/>
      <c r="P14" s="43"/>
      <c r="Q14" s="43"/>
      <c r="R14" s="43"/>
      <c r="S14" s="44"/>
      <c r="T14" s="43"/>
      <c r="U14" s="43"/>
      <c r="V14" s="43"/>
    </row>
    <row r="15" spans="1:22" x14ac:dyDescent="0.2">
      <c r="C15" s="49" t="s">
        <v>1</v>
      </c>
      <c r="D15" s="49" t="s">
        <v>0</v>
      </c>
      <c r="E15" s="49" t="s">
        <v>54</v>
      </c>
      <c r="F15" s="7">
        <f>Summary!G13</f>
        <v>0.13333333333333333</v>
      </c>
      <c r="G15" s="27">
        <f t="shared" si="0"/>
        <v>159.6</v>
      </c>
      <c r="H15" s="8">
        <f>(G15*SUMIFS('Calculations (hidden)'!$O$15:$O$21,'Calculations (hidden)'!$C$15:$C$21,'Detailed Results'!C15,'Calculations (hidden)'!$D$15:$D$21,'Detailed Results'!D15,'Calculations (hidden)'!$E$15:$E$21,'Detailed Results'!E15))-G15</f>
        <v>57.724369172785259</v>
      </c>
      <c r="I15" s="8">
        <f>(G15*SUMIFS('Calculations (hidden)'!$O$26:$O$32,'Calculations (hidden)'!$C$26:$C$32,'Detailed Results'!C15,'Calculations (hidden)'!$D$26:$D$32,'Detailed Results'!D15,'Calculations (hidden)'!$E$26:$E$32,'Detailed Results'!E15))-G15</f>
        <v>14.179443422367228</v>
      </c>
      <c r="J15" s="30">
        <f>SUM('Detailed Results'!G15:I15)</f>
        <v>231.50381259515248</v>
      </c>
      <c r="K15" s="7">
        <f>IF(G15&gt;0,(J15-G15)/G15,0)</f>
        <v>0.45052514157363716</v>
      </c>
      <c r="L15" s="21"/>
      <c r="M15" s="21"/>
      <c r="N15" s="43"/>
      <c r="O15" s="43"/>
      <c r="P15" s="43"/>
      <c r="Q15" s="43"/>
      <c r="R15" s="43"/>
      <c r="S15" s="43"/>
      <c r="T15" s="43"/>
      <c r="U15" s="43"/>
      <c r="V15" s="43"/>
    </row>
    <row r="16" spans="1:22" x14ac:dyDescent="0.2">
      <c r="C16" s="49" t="s">
        <v>1</v>
      </c>
      <c r="D16" s="49" t="s">
        <v>48</v>
      </c>
      <c r="E16" s="49" t="s">
        <v>53</v>
      </c>
      <c r="F16" s="7">
        <f>Summary!G14</f>
        <v>0.25555555555555554</v>
      </c>
      <c r="G16" s="27">
        <f t="shared" si="0"/>
        <v>305.89999999999998</v>
      </c>
      <c r="H16" s="8">
        <f>(G16*SUMIFS('Calculations (hidden)'!$O$15:$O$21,'Calculations (hidden)'!$C$15:$C$21,'Detailed Results'!C16,'Calculations (hidden)'!$D$15:$D$21,'Detailed Results'!D16,'Calculations (hidden)'!$E$15:$E$21,'Detailed Results'!E16))-G16</f>
        <v>84.689237065936027</v>
      </c>
      <c r="I16" s="8">
        <f>(G16*SUMIFS('Calculations (hidden)'!$O$26:$O$32,'Calculations (hidden)'!$C$26:$C$32,'Detailed Results'!C16,'Calculations (hidden)'!$D$26:$D$32,'Detailed Results'!D16,'Calculations (hidden)'!$E$26:$E$32,'Detailed Results'!E16))-G16</f>
        <v>10.036123738443337</v>
      </c>
      <c r="J16" s="30">
        <f>SUM('Detailed Results'!G16:I16)</f>
        <v>400.62536080437934</v>
      </c>
      <c r="K16" s="7">
        <f>IF(G16&gt;0,(J16-G16)/G16,0)</f>
        <v>0.30966119909898454</v>
      </c>
      <c r="L16" s="21"/>
      <c r="M16" s="21"/>
      <c r="N16" s="43"/>
      <c r="O16" s="43"/>
      <c r="P16" s="43"/>
      <c r="Q16" s="43"/>
      <c r="R16" s="43"/>
      <c r="S16" s="43"/>
      <c r="T16" s="43"/>
      <c r="U16" s="43"/>
      <c r="V16" s="43"/>
    </row>
    <row r="17" spans="1:22" s="10" customFormat="1" x14ac:dyDescent="0.2">
      <c r="A17" s="4"/>
      <c r="B17" s="4"/>
      <c r="C17" s="9" t="s">
        <v>8</v>
      </c>
      <c r="D17" s="9"/>
      <c r="E17" s="9"/>
      <c r="F17" s="18">
        <f t="shared" ref="F17:J17" si="1">SUM(F13:F16)</f>
        <v>1</v>
      </c>
      <c r="G17" s="28">
        <f>SUM(G13:G16)</f>
        <v>1197</v>
      </c>
      <c r="H17" s="19">
        <f t="shared" si="1"/>
        <v>425.42735459634554</v>
      </c>
      <c r="I17" s="19">
        <f t="shared" si="1"/>
        <v>93.839977169859822</v>
      </c>
      <c r="J17" s="31">
        <f t="shared" si="1"/>
        <v>1716.2673317662054</v>
      </c>
      <c r="K17" s="18">
        <f>(J17-G17)/G17</f>
        <v>0.43380729470860935</v>
      </c>
      <c r="L17" s="22"/>
      <c r="M17" s="22"/>
      <c r="N17" s="43"/>
      <c r="O17" s="43"/>
      <c r="P17" s="43"/>
      <c r="Q17" s="43"/>
      <c r="R17" s="43"/>
      <c r="S17" s="43"/>
      <c r="T17" s="43"/>
      <c r="U17" s="43"/>
      <c r="V17" s="43"/>
    </row>
    <row r="18" spans="1:22" x14ac:dyDescent="0.2"/>
    <row r="19" spans="1:22" x14ac:dyDescent="0.2"/>
    <row r="20" spans="1:22" x14ac:dyDescent="0.2">
      <c r="C20" s="127" t="s">
        <v>25</v>
      </c>
      <c r="D20" s="128"/>
      <c r="E20" s="128"/>
      <c r="F20" s="128"/>
      <c r="G20" s="128"/>
      <c r="H20" s="128"/>
      <c r="I20" s="128"/>
      <c r="J20" s="128"/>
      <c r="K20" s="128"/>
      <c r="L20" s="128"/>
      <c r="M20" s="128"/>
      <c r="N20" s="129"/>
      <c r="O20" s="35"/>
    </row>
    <row r="21" spans="1:22" x14ac:dyDescent="0.2">
      <c r="C21" s="32"/>
      <c r="D21" s="33"/>
      <c r="E21" s="33"/>
      <c r="F21" s="33"/>
      <c r="G21" s="130" t="s">
        <v>58</v>
      </c>
      <c r="H21" s="130"/>
      <c r="I21" s="130"/>
      <c r="J21" s="130"/>
      <c r="K21" s="131" t="s">
        <v>30</v>
      </c>
      <c r="L21" s="131"/>
      <c r="M21" s="131"/>
      <c r="N21" s="131"/>
    </row>
    <row r="22" spans="1:22" ht="32" x14ac:dyDescent="0.2">
      <c r="C22" s="51" t="s">
        <v>3</v>
      </c>
      <c r="D22" s="51" t="s">
        <v>55</v>
      </c>
      <c r="E22" s="51" t="s">
        <v>52</v>
      </c>
      <c r="F22" s="14" t="s">
        <v>5</v>
      </c>
      <c r="G22" s="26" t="s">
        <v>70</v>
      </c>
      <c r="H22" s="26" t="s">
        <v>87</v>
      </c>
      <c r="I22" s="26" t="s">
        <v>88</v>
      </c>
      <c r="J22" s="26" t="s">
        <v>28</v>
      </c>
      <c r="K22" s="29" t="s">
        <v>70</v>
      </c>
      <c r="L22" s="29" t="s">
        <v>87</v>
      </c>
      <c r="M22" s="29" t="s">
        <v>89</v>
      </c>
      <c r="N22" s="29" t="s">
        <v>28</v>
      </c>
    </row>
    <row r="23" spans="1:22" x14ac:dyDescent="0.2">
      <c r="C23" s="34" t="s">
        <v>4</v>
      </c>
      <c r="D23" s="34" t="s">
        <v>45</v>
      </c>
      <c r="E23" s="34" t="s">
        <v>45</v>
      </c>
      <c r="F23" s="7">
        <f t="shared" ref="F23:G26" si="2">F13</f>
        <v>7.7777777777777779E-2</v>
      </c>
      <c r="G23" s="27">
        <f t="shared" si="2"/>
        <v>93.100000000000009</v>
      </c>
      <c r="H23" s="115">
        <f>($G23*'MF Weights (hidden)'!E9*'Savings Buckets (hidden)'!D3)+($G23*'MF Weights (hidden)'!E10*'Savings Buckets (hidden)'!D4)</f>
        <v>-5160.4000000000087</v>
      </c>
      <c r="I23" s="115">
        <f>(G23*'MF Weights (hidden)'!E9*'Savings Buckets (hidden)'!E3)+(G23*'MF Weights (hidden)'!E10*'Savings Buckets (hidden)'!E4)</f>
        <v>18154.500000000004</v>
      </c>
      <c r="J23" s="115">
        <f>(G23*'MF Weights (hidden)'!E9*'Savings Buckets (hidden)'!F3)+(G23*'MF Weights (hidden)'!E10*'Savings Buckets (hidden)'!F4)</f>
        <v>134.33000000000004</v>
      </c>
      <c r="K23" s="30">
        <f>J13</f>
        <v>108.97997479155634</v>
      </c>
      <c r="L23" s="30">
        <f>($K23*'MF Weights (hidden)'!$E9*'Savings Buckets (hidden)'!D3)+($K23*'MF Weights (hidden)'!$E10*'Savings Buckets (hidden)'!D4)</f>
        <v>-6040.6043170176999</v>
      </c>
      <c r="M23" s="30">
        <f>($K23*'MF Weights (hidden)'!$E9*'Savings Buckets (hidden)'!E3)+($K23*'MF Weights (hidden)'!$E10*'Savings Buckets (hidden)'!E4)</f>
        <v>21251.095084353488</v>
      </c>
      <c r="N23" s="30">
        <f>($K23*'MF Weights (hidden)'!$E9*'Savings Buckets (hidden)'!F3)+($K23*'MF Weights (hidden)'!$E10*'Savings Buckets (hidden)'!F4)</f>
        <v>157.24253505638842</v>
      </c>
    </row>
    <row r="24" spans="1:22" x14ac:dyDescent="0.2">
      <c r="C24" s="49" t="s">
        <v>1</v>
      </c>
      <c r="D24" s="49" t="s">
        <v>48</v>
      </c>
      <c r="E24" s="49" t="s">
        <v>54</v>
      </c>
      <c r="F24" s="7">
        <f t="shared" si="2"/>
        <v>0.53333333333333333</v>
      </c>
      <c r="G24" s="27">
        <f t="shared" si="2"/>
        <v>638.4</v>
      </c>
      <c r="H24" s="115">
        <f>$G24*SUMIFS('Savings Buckets (hidden)'!D$2:D$7,'Savings Buckets (hidden)'!$A$2:$A$7,'Detailed Results'!$C24,'Savings Buckets (hidden)'!$C$2:$C$7,'Detailed Results'!$E24,'Savings Buckets (hidden)'!$B$2:$B$7,'Detailed Results'!$D24)</f>
        <v>-455179.2</v>
      </c>
      <c r="I24" s="115">
        <f>$G24*SUMIFS('Savings Buckets (hidden)'!E$2:E$7,'Savings Buckets (hidden)'!$A$2:$A$7,'Detailed Results'!$C24,'Savings Buckets (hidden)'!$C$2:$C$7,'Detailed Results'!$E24,'Savings Buckets (hidden)'!$B$2:$B$7,'Detailed Results'!$D24)</f>
        <v>83630.399999999994</v>
      </c>
      <c r="J24" s="115">
        <f>$G24*SUMIFS('Savings Buckets (hidden)'!F$2:F$7,'Savings Buckets (hidden)'!$A$2:$A$7,'Detailed Results'!$C24,'Savings Buckets (hidden)'!$C$2:$C$7,'Detailed Results'!$E24,'Savings Buckets (hidden)'!$B$2:$B$7,'Detailed Results'!$D24)</f>
        <v>510.72</v>
      </c>
      <c r="K24" s="30">
        <f>J14</f>
        <v>975.15818357511716</v>
      </c>
      <c r="L24" s="30">
        <f>$K24*SUMIFS('Savings Buckets (hidden)'!D$2:D$7,'Savings Buckets (hidden)'!$A$2:$A$7,'Detailed Results'!$C24,'Savings Buckets (hidden)'!$C$2:$C$7,'Detailed Results'!$E24,'Savings Buckets (hidden)'!$B$2:$B$7,'Detailed Results'!$D24)</f>
        <v>-695287.78488905856</v>
      </c>
      <c r="M24" s="30">
        <f>$K24*SUMIFS('Savings Buckets (hidden)'!E$2:E$7,'Savings Buckets (hidden)'!$A$2:$A$7,'Detailed Results'!$C24,'Savings Buckets (hidden)'!$C$2:$C$7,'Detailed Results'!$E24,'Savings Buckets (hidden)'!$B$2:$B$7,'Detailed Results'!$D24)</f>
        <v>127745.72204834035</v>
      </c>
      <c r="N24" s="30">
        <f>$K24*SUMIFS('Savings Buckets (hidden)'!F$2:F$7,'Savings Buckets (hidden)'!$A$2:$A$7,'Detailed Results'!$C24,'Savings Buckets (hidden)'!$C$2:$C$7,'Detailed Results'!$E24,'Savings Buckets (hidden)'!$B$2:$B$7,'Detailed Results'!$D24)</f>
        <v>780.12654686009375</v>
      </c>
    </row>
    <row r="25" spans="1:22" x14ac:dyDescent="0.2">
      <c r="C25" s="49" t="s">
        <v>1</v>
      </c>
      <c r="D25" s="49" t="s">
        <v>0</v>
      </c>
      <c r="E25" s="49" t="s">
        <v>54</v>
      </c>
      <c r="F25" s="7">
        <f t="shared" si="2"/>
        <v>0.13333333333333333</v>
      </c>
      <c r="G25" s="27">
        <f t="shared" si="2"/>
        <v>159.6</v>
      </c>
      <c r="H25" s="115">
        <f>$G25*SUMIFS('Savings Buckets (hidden)'!D$2:D$7,'Savings Buckets (hidden)'!A$2:$A$7,'Detailed Results'!$C25,'Savings Buckets (hidden)'!C$2:$C$7,'Detailed Results'!$E25,'Savings Buckets (hidden)'!B$2:$B$7,'Detailed Results'!$D25)</f>
        <v>93844.800000000003</v>
      </c>
      <c r="I25" s="115">
        <f>$G25*SUMIFS('Savings Buckets (hidden)'!E$2:E$7,'Savings Buckets (hidden)'!$A$2:$A$7,'Detailed Results'!$C25,'Savings Buckets (hidden)'!$C$2:$C$7,'Detailed Results'!$E25,'Savings Buckets (hidden)'!$B$2:$B$7,'Detailed Results'!$D25)</f>
        <v>18034.8</v>
      </c>
      <c r="J25" s="115">
        <f>$G25*SUMIFS('Savings Buckets (hidden)'!F$2:F$7,'Savings Buckets (hidden)'!$A$2:$A$7,'Detailed Results'!$C25,'Savings Buckets (hidden)'!$C$2:$C$7,'Detailed Results'!$E25,'Savings Buckets (hidden)'!$B$2:$B$7,'Detailed Results'!$D25)</f>
        <v>143.63999999999999</v>
      </c>
      <c r="K25" s="30">
        <f>J15</f>
        <v>231.50381259515248</v>
      </c>
      <c r="L25" s="30">
        <f>$K25*SUMIFS('Savings Buckets (hidden)'!D$2:D$7,'Savings Buckets (hidden)'!$A$2:$A$7,'Detailed Results'!$C25,'Savings Buckets (hidden)'!$C$2:$C$7,'Detailed Results'!$E25,'Savings Buckets (hidden)'!$B$2:$B$7,'Detailed Results'!$D25)</f>
        <v>136124.24180594966</v>
      </c>
      <c r="M25" s="30">
        <f>$K25*SUMIFS('Savings Buckets (hidden)'!E$2:E$7,'Savings Buckets (hidden)'!$A$2:$A$7,'Detailed Results'!$C25,'Savings Buckets (hidden)'!$C$2:$C$7,'Detailed Results'!$E25,'Savings Buckets (hidden)'!$B$2:$B$7,'Detailed Results'!$D25)</f>
        <v>26159.930823252231</v>
      </c>
      <c r="N25" s="30">
        <f>$K25*SUMIFS('Savings Buckets (hidden)'!F$2:F$7,'Savings Buckets (hidden)'!$A$2:$A$7,'Detailed Results'!$C25,'Savings Buckets (hidden)'!$C$2:$C$7,'Detailed Results'!$E25,'Savings Buckets (hidden)'!$B$2:$B$7,'Detailed Results'!$D25)</f>
        <v>208.35343133563723</v>
      </c>
    </row>
    <row r="26" spans="1:22" x14ac:dyDescent="0.2">
      <c r="C26" s="49" t="s">
        <v>1</v>
      </c>
      <c r="D26" s="49" t="s">
        <v>48</v>
      </c>
      <c r="E26" s="49" t="s">
        <v>53</v>
      </c>
      <c r="F26" s="7">
        <f t="shared" si="2"/>
        <v>0.25555555555555554</v>
      </c>
      <c r="G26" s="27">
        <f t="shared" si="2"/>
        <v>305.89999999999998</v>
      </c>
      <c r="H26" s="115">
        <f>$G26*SUMIFS('Savings Buckets (hidden)'!D$2:D$7,'Savings Buckets (hidden)'!A$2:$A$7,'Detailed Results'!$C26,'Savings Buckets (hidden)'!C$2:$C$7,'Detailed Results'!$E26,'Savings Buckets (hidden)'!B$2:$B$7,'Detailed Results'!$D26)</f>
        <v>-184151.8</v>
      </c>
      <c r="I26" s="115">
        <f>$G26*SUMIFS('Savings Buckets (hidden)'!E$2:E$7,'Savings Buckets (hidden)'!$A$2:$A$7,'Detailed Results'!$C26,'Savings Buckets (hidden)'!$C$2:$C$7,'Detailed Results'!$E26,'Savings Buckets (hidden)'!$B$2:$B$7,'Detailed Results'!$D26)</f>
        <v>31201.8</v>
      </c>
      <c r="J26" s="115">
        <f>$G26*SUMIFS('Savings Buckets (hidden)'!F$2:F$7,'Savings Buckets (hidden)'!$A$2:$A$7,'Detailed Results'!$C26,'Savings Buckets (hidden)'!$C$2:$C$7,'Detailed Results'!$E26,'Savings Buckets (hidden)'!$B$2:$B$7,'Detailed Results'!$D26)</f>
        <v>152.94999999999999</v>
      </c>
      <c r="K26" s="30">
        <f>J16</f>
        <v>400.62536080437934</v>
      </c>
      <c r="L26" s="30">
        <f>$K26*SUMIFS('Savings Buckets (hidden)'!D$2:D$7,'Savings Buckets (hidden)'!$A$2:$A$7,'Detailed Results'!$C26,'Savings Buckets (hidden)'!$C$2:$C$7,'Detailed Results'!$E26,'Savings Buckets (hidden)'!$B$2:$B$7,'Detailed Results'!$D26)</f>
        <v>-241176.46720423637</v>
      </c>
      <c r="M26" s="30">
        <f>$K26*SUMIFS('Savings Buckets (hidden)'!E$2:E$7,'Savings Buckets (hidden)'!$A$2:$A$7,'Detailed Results'!$C26,'Savings Buckets (hidden)'!$C$2:$C$7,'Detailed Results'!$E26,'Savings Buckets (hidden)'!$B$2:$B$7,'Detailed Results'!$D26)</f>
        <v>40863.786802046692</v>
      </c>
      <c r="N26" s="30">
        <f>$K26*SUMIFS('Savings Buckets (hidden)'!F$2:F$7,'Savings Buckets (hidden)'!$A$2:$A$7,'Detailed Results'!$C26,'Savings Buckets (hidden)'!$C$2:$C$7,'Detailed Results'!$E26,'Savings Buckets (hidden)'!$B$2:$B$7,'Detailed Results'!$D26)</f>
        <v>200.31268040218967</v>
      </c>
    </row>
    <row r="27" spans="1:22" x14ac:dyDescent="0.2">
      <c r="C27" s="9" t="s">
        <v>8</v>
      </c>
      <c r="D27" s="9"/>
      <c r="E27" s="9"/>
      <c r="F27" s="18">
        <f t="shared" ref="F27:N27" si="3">SUM(F23:F26)</f>
        <v>1</v>
      </c>
      <c r="G27" s="28">
        <f t="shared" si="3"/>
        <v>1197</v>
      </c>
      <c r="H27" s="28">
        <f t="shared" si="3"/>
        <v>-550646.60000000009</v>
      </c>
      <c r="I27" s="28">
        <f t="shared" si="3"/>
        <v>151021.5</v>
      </c>
      <c r="J27" s="28">
        <f t="shared" si="3"/>
        <v>941.6400000000001</v>
      </c>
      <c r="K27" s="36">
        <f t="shared" si="3"/>
        <v>1716.2673317662054</v>
      </c>
      <c r="L27" s="31">
        <f t="shared" si="3"/>
        <v>-806380.61460436299</v>
      </c>
      <c r="M27" s="31">
        <f t="shared" si="3"/>
        <v>216020.53475799278</v>
      </c>
      <c r="N27" s="31">
        <f t="shared" si="3"/>
        <v>1346.0351936543091</v>
      </c>
    </row>
    <row r="28" spans="1:22" x14ac:dyDescent="0.2"/>
    <row r="29" spans="1:22" x14ac:dyDescent="0.2"/>
    <row r="30" spans="1:22" x14ac:dyDescent="0.2"/>
    <row r="31" spans="1:22" x14ac:dyDescent="0.2"/>
    <row r="32" spans="1: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x14ac:dyDescent="0.2"/>
  </sheetData>
  <sheetProtection selectLockedCells="1"/>
  <mergeCells count="8">
    <mergeCell ref="C20:N20"/>
    <mergeCell ref="G21:J21"/>
    <mergeCell ref="K21:N21"/>
    <mergeCell ref="C5:E5"/>
    <mergeCell ref="C6:E6"/>
    <mergeCell ref="C7:E7"/>
    <mergeCell ref="C9:E9"/>
    <mergeCell ref="C11:K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200-000000000000}">
          <x14:formula1>
            <xm:f>'Scenario Options (hidden)'!A15</xm:f>
          </x14:formula1>
          <x14:formula2>
            <xm:f>'Scenario Options (hidden)'!A22</xm:f>
          </x14:formula2>
          <xm:sqref>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Y50"/>
  <sheetViews>
    <sheetView topLeftCell="C1" workbookViewId="0">
      <selection activeCell="G26" sqref="G26"/>
    </sheetView>
  </sheetViews>
  <sheetFormatPr baseColWidth="10" defaultColWidth="0" defaultRowHeight="15" zeroHeight="1" x14ac:dyDescent="0.2"/>
  <cols>
    <col min="1" max="2" width="9.1640625" style="58" hidden="1" customWidth="1"/>
    <col min="3" max="4" width="13.5" style="57" customWidth="1"/>
    <col min="5" max="5" width="31" style="58" bestFit="1" customWidth="1"/>
    <col min="6" max="6" width="9.1640625" style="58" customWidth="1"/>
    <col min="7" max="15" width="15.6640625" style="58" customWidth="1"/>
    <col min="16" max="16" width="9.1640625" style="58" hidden="1" customWidth="1"/>
    <col min="17" max="25" width="0" style="58" hidden="1" customWidth="1"/>
    <col min="26" max="16384" width="9.1640625" style="58" hidden="1"/>
  </cols>
  <sheetData>
    <row r="1" spans="3:15" ht="32" x14ac:dyDescent="0.2">
      <c r="G1" s="59" t="s">
        <v>61</v>
      </c>
      <c r="H1" s="107" t="s">
        <v>67</v>
      </c>
      <c r="I1" s="59" t="s">
        <v>62</v>
      </c>
      <c r="J1" s="59" t="s">
        <v>63</v>
      </c>
      <c r="K1" s="59" t="s">
        <v>64</v>
      </c>
    </row>
    <row r="2" spans="3:15" x14ac:dyDescent="0.2">
      <c r="F2" s="60" t="s">
        <v>11</v>
      </c>
      <c r="G2" s="60" t="s">
        <v>16</v>
      </c>
      <c r="H2" s="60" t="s">
        <v>68</v>
      </c>
      <c r="I2" s="60" t="s">
        <v>17</v>
      </c>
      <c r="J2" s="60" t="s">
        <v>18</v>
      </c>
      <c r="K2" s="60" t="s">
        <v>19</v>
      </c>
    </row>
    <row r="3" spans="3:15" x14ac:dyDescent="0.2">
      <c r="C3" s="61" t="s">
        <v>65</v>
      </c>
      <c r="D3" s="61"/>
      <c r="E3" s="61"/>
      <c r="F3">
        <v>-6.5250000000000002E-2</v>
      </c>
      <c r="G3">
        <v>0.28208</v>
      </c>
      <c r="H3">
        <v>0</v>
      </c>
      <c r="I3">
        <v>0</v>
      </c>
      <c r="J3">
        <v>-0.30813000000000001</v>
      </c>
      <c r="K3">
        <v>-0.30813000000000001</v>
      </c>
    </row>
    <row r="4" spans="3:15" x14ac:dyDescent="0.2">
      <c r="C4" s="61" t="s">
        <v>66</v>
      </c>
      <c r="D4" s="61"/>
      <c r="E4" s="61"/>
      <c r="F4">
        <v>-0.25840000000000002</v>
      </c>
      <c r="G4">
        <v>0.83769000000000005</v>
      </c>
      <c r="H4">
        <v>0</v>
      </c>
      <c r="I4">
        <v>0</v>
      </c>
      <c r="J4">
        <v>-0.30353999999999998</v>
      </c>
      <c r="K4">
        <v>-0.65337000000000001</v>
      </c>
    </row>
    <row r="5" spans="3:15" x14ac:dyDescent="0.2">
      <c r="C5" s="62" t="s">
        <v>6</v>
      </c>
      <c r="D5" s="62"/>
      <c r="E5" s="62"/>
      <c r="F5">
        <v>0</v>
      </c>
      <c r="G5" s="58">
        <v>0.18988450000000001</v>
      </c>
      <c r="H5">
        <v>0</v>
      </c>
      <c r="I5">
        <v>7.4101299999999995E-2</v>
      </c>
      <c r="J5">
        <v>-3.1661300000000003E-2</v>
      </c>
      <c r="K5" s="58">
        <v>-0.1806883</v>
      </c>
    </row>
    <row r="6" spans="3:15" ht="16.5" hidden="1" customHeight="1" x14ac:dyDescent="0.2">
      <c r="C6" s="62"/>
      <c r="D6" s="62"/>
      <c r="E6" s="63"/>
    </row>
    <row r="7" spans="3:15" hidden="1" x14ac:dyDescent="0.2">
      <c r="C7" s="62"/>
      <c r="D7" s="62"/>
      <c r="E7" s="63"/>
    </row>
    <row r="8" spans="3:15" hidden="1" x14ac:dyDescent="0.2">
      <c r="C8" s="62"/>
      <c r="D8" s="62"/>
      <c r="E8" s="63"/>
    </row>
    <row r="9" spans="3:15" hidden="1" x14ac:dyDescent="0.2">
      <c r="C9" s="62"/>
      <c r="D9" s="62"/>
      <c r="E9" s="63"/>
    </row>
    <row r="10" spans="3:15" hidden="1" x14ac:dyDescent="0.2">
      <c r="C10" s="64"/>
      <c r="D10" s="64"/>
      <c r="E10" s="64"/>
    </row>
    <row r="11" spans="3:15" hidden="1" x14ac:dyDescent="0.2">
      <c r="H11" s="69"/>
    </row>
    <row r="12" spans="3:15" hidden="1" x14ac:dyDescent="0.2">
      <c r="H12" s="69"/>
    </row>
    <row r="13" spans="3:15" x14ac:dyDescent="0.2">
      <c r="H13" s="69"/>
    </row>
    <row r="14" spans="3:15" s="73" customFormat="1" x14ac:dyDescent="0.2">
      <c r="C14" s="71" t="s">
        <v>21</v>
      </c>
      <c r="D14" s="71"/>
      <c r="E14" s="71"/>
      <c r="F14" s="71"/>
      <c r="G14" s="71"/>
      <c r="H14" s="72"/>
      <c r="I14" s="71"/>
      <c r="J14" s="71"/>
      <c r="K14" s="71"/>
      <c r="L14" s="71"/>
      <c r="M14" s="71"/>
      <c r="N14" s="71"/>
      <c r="O14" s="71"/>
    </row>
    <row r="15" spans="3:15" s="68" customFormat="1" ht="48" x14ac:dyDescent="0.2">
      <c r="C15" s="65" t="s">
        <v>3</v>
      </c>
      <c r="D15" s="65" t="s">
        <v>55</v>
      </c>
      <c r="E15" s="65" t="s">
        <v>52</v>
      </c>
      <c r="F15" s="59" t="s">
        <v>11</v>
      </c>
      <c r="G15" s="59" t="s">
        <v>16</v>
      </c>
      <c r="H15" s="66" t="s">
        <v>12</v>
      </c>
      <c r="I15" s="59" t="s">
        <v>17</v>
      </c>
      <c r="J15" s="59" t="s">
        <v>13</v>
      </c>
      <c r="K15" s="59" t="s">
        <v>18</v>
      </c>
      <c r="L15" s="59" t="s">
        <v>14</v>
      </c>
      <c r="M15" s="59" t="s">
        <v>19</v>
      </c>
      <c r="N15" s="59" t="s">
        <v>15</v>
      </c>
      <c r="O15" s="67" t="s">
        <v>10</v>
      </c>
    </row>
    <row r="16" spans="3:15" x14ac:dyDescent="0.2">
      <c r="C16" s="58" t="s">
        <v>4</v>
      </c>
      <c r="D16" s="58" t="s">
        <v>48</v>
      </c>
      <c r="E16" s="58" t="s">
        <v>54</v>
      </c>
      <c r="F16" s="58">
        <f t="shared" ref="F16:F18" si="0">$F$3</f>
        <v>-6.5250000000000002E-2</v>
      </c>
      <c r="G16" s="58">
        <f t="shared" ref="G16:G18" si="1">$G$3</f>
        <v>0.28208</v>
      </c>
      <c r="H16" s="69">
        <f>SUMIF('Scenario Options (hidden)'!$B$24:$B$33,Summary!$G$19,'Scenario Options (hidden)'!$A$24:$A$33)</f>
        <v>1.3</v>
      </c>
      <c r="I16" s="58">
        <f t="shared" ref="I16:I21" si="2">$I$3</f>
        <v>0</v>
      </c>
      <c r="J16" s="58">
        <f t="shared" ref="J16:J21" si="3">IF(C16="Multi Family",0,1)</f>
        <v>0</v>
      </c>
      <c r="K16" s="58">
        <f t="shared" ref="K16:K17" si="4">$J$3</f>
        <v>-0.30813000000000001</v>
      </c>
      <c r="L16" s="58">
        <f>IF(D16="Electric",1,0)</f>
        <v>0</v>
      </c>
      <c r="M16" s="58">
        <f t="shared" ref="M16:M18" si="5">$K$3</f>
        <v>-0.30813000000000001</v>
      </c>
      <c r="N16" s="58">
        <f>IF(E16="Cooling Only",1,0)</f>
        <v>0</v>
      </c>
      <c r="O16" s="106">
        <f>IF(H16=1,100%,IF(H16=0,71.98%,IF(H16&lt;1,EXP(F16+(G16*LN(H16))+($H$3*(LN(H16)^2))+(I16*(LN(H16)*J16))+(K16*(LN(H16)*L16))+(M16*(LN(H16)*N16))),IF(H16&lt;&gt;2,1+(1-EXP(F16+(G16*LN(2-H16))+($H$3*(LN(2-H16)^2))+(I16*(LN(2-H16)*J16))+(K16*(LN(2-H16)*L16))+(M16*(LN(2-H16)*N16)))),128.02%))))</f>
        <v>1.1528359065328995</v>
      </c>
    </row>
    <row r="17" spans="3:20" x14ac:dyDescent="0.2">
      <c r="C17" s="58" t="s">
        <v>4</v>
      </c>
      <c r="D17" s="58" t="s">
        <v>0</v>
      </c>
      <c r="E17" s="58" t="s">
        <v>54</v>
      </c>
      <c r="F17" s="58">
        <f t="shared" si="0"/>
        <v>-6.5250000000000002E-2</v>
      </c>
      <c r="G17" s="58">
        <f t="shared" si="1"/>
        <v>0.28208</v>
      </c>
      <c r="H17" s="69">
        <f>SUMIF('Scenario Options (hidden)'!$B$24:$B$33,Summary!$G$19,'Scenario Options (hidden)'!$A$24:$A$33)</f>
        <v>1.3</v>
      </c>
      <c r="I17" s="58">
        <f t="shared" si="2"/>
        <v>0</v>
      </c>
      <c r="J17" s="58">
        <f t="shared" si="3"/>
        <v>0</v>
      </c>
      <c r="K17" s="58">
        <f t="shared" si="4"/>
        <v>-0.30813000000000001</v>
      </c>
      <c r="L17" s="58">
        <f t="shared" ref="L17:L21" si="6">IF(D17="Electric",1,0)</f>
        <v>1</v>
      </c>
      <c r="M17" s="58">
        <f t="shared" si="5"/>
        <v>-0.30813000000000001</v>
      </c>
      <c r="N17" s="58">
        <f t="shared" ref="N17:N21" si="7">IF(E17="Cooling Only",1,0)</f>
        <v>0</v>
      </c>
      <c r="O17" s="106">
        <f>IF(H17=1,100%,IF(H17=0,89.86%,IF(H17&lt;1,EXP(F17+(G17*LN(H17))+($H$3*(LN(H17)^2))+(I17*(LN(H17)*J17))+(K17*(LN(H17)*L17))+(M17*(LN(H17)*N17))),IF(H17&lt;&gt;2,1+(1-EXP(F17+(G17*LN(2-H17))+($H$3*(LN(2-H17)^2))+(I17*(LN(2-H17)*J17))+(K17*(LN(2-H17)*L17))+(M17*(LN(2-H17)*N17)))),110.14%))))</f>
        <v>1.0544217347256244</v>
      </c>
    </row>
    <row r="18" spans="3:20" x14ac:dyDescent="0.2">
      <c r="C18" s="58" t="s">
        <v>4</v>
      </c>
      <c r="D18" s="58" t="s">
        <v>48</v>
      </c>
      <c r="E18" s="58" t="s">
        <v>53</v>
      </c>
      <c r="F18" s="58">
        <f t="shared" si="0"/>
        <v>-6.5250000000000002E-2</v>
      </c>
      <c r="G18" s="58">
        <f t="shared" si="1"/>
        <v>0.28208</v>
      </c>
      <c r="H18" s="69">
        <f>SUMIF('Scenario Options (hidden)'!$B$24:$B$33,Summary!$G$19,'Scenario Options (hidden)'!$A$24:$A$33)</f>
        <v>1.3</v>
      </c>
      <c r="I18" s="58">
        <f t="shared" si="2"/>
        <v>0</v>
      </c>
      <c r="J18" s="58">
        <f t="shared" si="3"/>
        <v>0</v>
      </c>
      <c r="K18" s="58">
        <f>$J$3</f>
        <v>-0.30813000000000001</v>
      </c>
      <c r="L18" s="58">
        <f t="shared" si="6"/>
        <v>0</v>
      </c>
      <c r="M18" s="58">
        <f t="shared" si="5"/>
        <v>-0.30813000000000001</v>
      </c>
      <c r="N18" s="58">
        <f t="shared" si="7"/>
        <v>1</v>
      </c>
      <c r="O18" s="106">
        <f>IF(H18=1,100%,IF(H18=0,95%,IF(H18&lt;1,EXP(F18+(G18*LN(H18))+($H$3*(LN(H18)^2))+(I18*(LN(H18)*J18))+(K18*(LN(H18)*L18))+(M18*(LN(H18)*N18))),IF(H18&lt;&gt;2,1+(1-EXP(F18+(G18*LN(2-H18))+($H$3*(LN(2-H18)^2))+(I18*(LN(2-H18)*J18))+(K18*(LN(2-H18)*L18))+(M18*(LN(2-H18)*N18)))),105%))))</f>
        <v>1.0544217347256244</v>
      </c>
    </row>
    <row r="19" spans="3:20" x14ac:dyDescent="0.2">
      <c r="C19" s="58" t="s">
        <v>1</v>
      </c>
      <c r="D19" s="58" t="s">
        <v>48</v>
      </c>
      <c r="E19" s="58" t="s">
        <v>54</v>
      </c>
      <c r="F19" s="58">
        <f>$F$4</f>
        <v>-0.25840000000000002</v>
      </c>
      <c r="G19" s="58">
        <f>G4</f>
        <v>0.83769000000000005</v>
      </c>
      <c r="H19" s="69">
        <f>SUMIF('Scenario Options (hidden)'!$B$24:$B$33,Summary!$G$19,'Scenario Options (hidden)'!$A$24:$A$33)</f>
        <v>1.3</v>
      </c>
      <c r="I19" s="58">
        <f t="shared" si="2"/>
        <v>0</v>
      </c>
      <c r="J19" s="58">
        <f t="shared" si="3"/>
        <v>1</v>
      </c>
      <c r="K19" s="58">
        <f>$J$4</f>
        <v>-0.30353999999999998</v>
      </c>
      <c r="L19" s="58">
        <f t="shared" si="6"/>
        <v>0</v>
      </c>
      <c r="M19" s="58">
        <f>$K$4</f>
        <v>-0.65337000000000001</v>
      </c>
      <c r="N19" s="58">
        <f t="shared" si="7"/>
        <v>0</v>
      </c>
      <c r="O19" s="106">
        <f>IF(H19=1,100%,IF(H19=0,37%,IF(H19&lt;1,EXP(F19+(G19*LN(H19))+($H$3*(LN(H19)^2))+(I19*(LN(H19)*J19))+(K19*(LN(H19)*L19))+(M19*(LN(H19)*N19))),IF(H19&lt;&gt;2,1+(1-EXP(F19+(G19*LN(2-H19))+($H$3*(LN(2-H19)^2))+(I19*(LN(2-H19)*J19))+(K19*(LN(2-H19)*L19))+(M19*(LN(2-H19)*N19)))),163%))))</f>
        <v>1.4271795910315188</v>
      </c>
    </row>
    <row r="20" spans="3:20" x14ac:dyDescent="0.2">
      <c r="C20" s="58" t="s">
        <v>1</v>
      </c>
      <c r="D20" s="58" t="s">
        <v>0</v>
      </c>
      <c r="E20" s="58" t="s">
        <v>54</v>
      </c>
      <c r="F20" s="58">
        <f t="shared" ref="F20:F21" si="8">$F$4</f>
        <v>-0.25840000000000002</v>
      </c>
      <c r="G20" s="58">
        <f>$G$4</f>
        <v>0.83769000000000005</v>
      </c>
      <c r="H20" s="69">
        <f>SUMIF('Scenario Options (hidden)'!$B$24:$B$33,Summary!$G$19,'Scenario Options (hidden)'!$A$24:$A$33)</f>
        <v>1.3</v>
      </c>
      <c r="I20" s="58">
        <f t="shared" si="2"/>
        <v>0</v>
      </c>
      <c r="J20" s="58">
        <f t="shared" si="3"/>
        <v>1</v>
      </c>
      <c r="K20" s="58">
        <f t="shared" ref="K20:K21" si="9">$J$4</f>
        <v>-0.30353999999999998</v>
      </c>
      <c r="L20" s="58">
        <f t="shared" si="6"/>
        <v>1</v>
      </c>
      <c r="M20" s="58">
        <f t="shared" ref="M20:M21" si="10">$K$4</f>
        <v>-0.65337000000000001</v>
      </c>
      <c r="N20" s="58">
        <f t="shared" si="7"/>
        <v>0</v>
      </c>
      <c r="O20" s="106">
        <f>IF(H20=1,100%,IF(H20=0,47.54%,IF(H20&lt;1,EXP(F20+(G20*LN(H20))+($H$3*(LN(H20)^2))+(I20*(LN(H20)*J20))+(K20*(LN(H20)*L20))+(M20*(LN(H20)*N20))),IF(H20&lt;&gt;2,1+(1-EXP(F20+(G20*LN(2-H20))+($H$3*(LN(2-H20)^2))+(I20*(LN(2-H20)*J20))+(K20*(LN(2-H20)*L20))+(M20*(LN(2-H20)*N20)))),152.46%))))</f>
        <v>1.361681511107677</v>
      </c>
    </row>
    <row r="21" spans="3:20" x14ac:dyDescent="0.2">
      <c r="C21" s="58" t="s">
        <v>1</v>
      </c>
      <c r="D21" s="58" t="s">
        <v>48</v>
      </c>
      <c r="E21" s="58" t="s">
        <v>53</v>
      </c>
      <c r="F21" s="58">
        <f t="shared" si="8"/>
        <v>-0.25840000000000002</v>
      </c>
      <c r="G21" s="58">
        <f>$G$4</f>
        <v>0.83769000000000005</v>
      </c>
      <c r="H21" s="69">
        <f>SUMIF('Scenario Options (hidden)'!$B$24:$B$33,Summary!$G$19,'Scenario Options (hidden)'!$A$24:$A$33)</f>
        <v>1.3</v>
      </c>
      <c r="I21" s="58">
        <f t="shared" si="2"/>
        <v>0</v>
      </c>
      <c r="J21" s="58">
        <f t="shared" si="3"/>
        <v>1</v>
      </c>
      <c r="K21" s="58">
        <f t="shared" si="9"/>
        <v>-0.30353999999999998</v>
      </c>
      <c r="L21" s="58">
        <f t="shared" si="6"/>
        <v>0</v>
      </c>
      <c r="M21" s="58">
        <f t="shared" si="10"/>
        <v>-0.65337000000000001</v>
      </c>
      <c r="N21" s="58">
        <f t="shared" si="7"/>
        <v>1</v>
      </c>
      <c r="O21" s="106">
        <f>IF(H21=1,100%,IF(H21=0,65.08%,IF(H21&lt;1,EXP(F21+(G21*LN(H21))+($H$3*(LN(H21)^2))+(I21*(LN(H21)*J21))+(K21*(LN(H21)*L21))+(M21*(LN(H21)*N21))),IF(H21&lt;&gt;2,1+(1-EXP(F21+(G21*LN(2-H21))+($H$3*(LN(2-H21)^2))+(I21*(LN(2-H21)*J21))+(K21*(LN(2-H21)*L21))+(M21*(LN(2-H21)*N21)))),134.92%))))</f>
        <v>1.276852687368212</v>
      </c>
    </row>
    <row r="22" spans="3:20" x14ac:dyDescent="0.2">
      <c r="H22" s="69"/>
    </row>
    <row r="23" spans="3:20" hidden="1" x14ac:dyDescent="0.2">
      <c r="H23" s="69"/>
    </row>
    <row r="24" spans="3:20" hidden="1" x14ac:dyDescent="0.2">
      <c r="H24" s="69"/>
    </row>
    <row r="25" spans="3:20" s="76" customFormat="1" x14ac:dyDescent="0.2">
      <c r="C25" s="74" t="s">
        <v>22</v>
      </c>
      <c r="D25" s="74"/>
      <c r="E25" s="74"/>
      <c r="F25" s="74"/>
      <c r="G25" s="74"/>
      <c r="H25" s="75"/>
      <c r="I25" s="74"/>
      <c r="J25" s="74"/>
      <c r="K25" s="74"/>
      <c r="L25" s="74"/>
      <c r="M25" s="74"/>
      <c r="N25" s="74"/>
      <c r="O25" s="74"/>
    </row>
    <row r="26" spans="3:20" s="68" customFormat="1" ht="48" x14ac:dyDescent="0.2">
      <c r="C26" s="65" t="s">
        <v>3</v>
      </c>
      <c r="D26" s="65" t="s">
        <v>55</v>
      </c>
      <c r="E26" s="65" t="s">
        <v>52</v>
      </c>
      <c r="F26" s="59" t="s">
        <v>11</v>
      </c>
      <c r="G26" s="59" t="s">
        <v>16</v>
      </c>
      <c r="H26" s="66" t="s">
        <v>12</v>
      </c>
      <c r="I26" s="59" t="s">
        <v>17</v>
      </c>
      <c r="J26" s="59" t="s">
        <v>13</v>
      </c>
      <c r="K26" s="59" t="s">
        <v>18</v>
      </c>
      <c r="L26" s="59" t="s">
        <v>14</v>
      </c>
      <c r="M26" s="59" t="s">
        <v>19</v>
      </c>
      <c r="N26" s="59" t="s">
        <v>15</v>
      </c>
      <c r="O26" s="67" t="s">
        <v>10</v>
      </c>
    </row>
    <row r="27" spans="3:20" x14ac:dyDescent="0.2">
      <c r="C27" s="58" t="s">
        <v>4</v>
      </c>
      <c r="D27" s="58" t="s">
        <v>48</v>
      </c>
      <c r="E27" s="58" t="s">
        <v>54</v>
      </c>
      <c r="F27" s="58">
        <f t="shared" ref="F27:F32" si="11">$F$5</f>
        <v>0</v>
      </c>
      <c r="G27" s="58">
        <f t="shared" ref="G27:G32" si="12">$G$5</f>
        <v>0.18988450000000001</v>
      </c>
      <c r="H27" s="69">
        <f>SUMIF('Scenario Options (hidden)'!$B$35:$B$44,Summary!$G$20,'Scenario Options (hidden)'!$A$35:$A$44)</f>
        <v>1.33</v>
      </c>
      <c r="I27" s="58">
        <f t="shared" ref="I27:I32" si="13">$I$5</f>
        <v>7.4101299999999995E-2</v>
      </c>
      <c r="J27" s="58">
        <f t="shared" ref="J27:J32" si="14">IF(C27="Multi Family",0,1)</f>
        <v>0</v>
      </c>
      <c r="K27" s="58">
        <f t="shared" ref="K27:K32" si="15">$J$5</f>
        <v>-3.1661300000000003E-2</v>
      </c>
      <c r="L27" s="58">
        <f>IF(D27="Electric",1,0)</f>
        <v>0</v>
      </c>
      <c r="M27" s="58">
        <f t="shared" ref="M27:M32" si="16">$K$5</f>
        <v>-0.1806883</v>
      </c>
      <c r="N27" s="58">
        <f>IF(E27="Cooling Only",1,0)</f>
        <v>0</v>
      </c>
      <c r="O27" s="106">
        <f t="shared" ref="O27:O32" si="17">IF(H27&lt;=1,EXP(F27+(G27*LN(H27))+(I27*(LN(H27)*J27))+(K27*(LN(H27)*L27))+(M27*(LN(H27)*N27))),1+(1-EXP(F27+(G27*LN(2-H27))+(I27*(LN(2-H27)*J27))+(K27*(LN(2-H27)*L27))+(M27*(LN(2-H27)*N27)))))</f>
        <v>1.0732250196205111</v>
      </c>
      <c r="P27" s="58">
        <v>0.18988450000000001</v>
      </c>
      <c r="Q27">
        <v>0</v>
      </c>
      <c r="R27">
        <v>7.4101299999999995E-2</v>
      </c>
      <c r="S27">
        <v>-3.1661300000000003E-2</v>
      </c>
      <c r="T27" s="58">
        <v>-0.1806883</v>
      </c>
    </row>
    <row r="28" spans="3:20" x14ac:dyDescent="0.2">
      <c r="C28" s="58" t="s">
        <v>4</v>
      </c>
      <c r="D28" s="58" t="s">
        <v>0</v>
      </c>
      <c r="E28" s="58" t="s">
        <v>54</v>
      </c>
      <c r="F28" s="58">
        <f t="shared" si="11"/>
        <v>0</v>
      </c>
      <c r="G28" s="58">
        <f t="shared" si="12"/>
        <v>0.18988450000000001</v>
      </c>
      <c r="H28" s="69">
        <f>SUMIF('Scenario Options (hidden)'!$B$35:$B$44,Summary!$G$20,'Scenario Options (hidden)'!$A$35:$A$44)</f>
        <v>1.33</v>
      </c>
      <c r="I28" s="58">
        <f t="shared" si="13"/>
        <v>7.4101299999999995E-2</v>
      </c>
      <c r="J28" s="58">
        <f t="shared" si="14"/>
        <v>0</v>
      </c>
      <c r="K28" s="58">
        <f t="shared" si="15"/>
        <v>-3.1661300000000003E-2</v>
      </c>
      <c r="L28" s="58">
        <f t="shared" ref="L28:L32" si="18">IF(D28="Electric",1,0)</f>
        <v>1</v>
      </c>
      <c r="M28" s="58">
        <f t="shared" si="16"/>
        <v>-0.1806883</v>
      </c>
      <c r="N28" s="58">
        <f t="shared" ref="N28:N32" si="19">IF(E28="Cooling Only",1,0)</f>
        <v>0</v>
      </c>
      <c r="O28" s="106">
        <f t="shared" si="17"/>
        <v>1.061399029950195</v>
      </c>
    </row>
    <row r="29" spans="3:20" x14ac:dyDescent="0.2">
      <c r="C29" s="58" t="s">
        <v>4</v>
      </c>
      <c r="D29" s="58" t="s">
        <v>48</v>
      </c>
      <c r="E29" s="58" t="s">
        <v>53</v>
      </c>
      <c r="F29" s="58">
        <f t="shared" si="11"/>
        <v>0</v>
      </c>
      <c r="G29" s="58">
        <f t="shared" si="12"/>
        <v>0.18988450000000001</v>
      </c>
      <c r="H29" s="69">
        <f>SUMIF('Scenario Options (hidden)'!$B$35:$B$44,Summary!$G$20,'Scenario Options (hidden)'!$A$35:$A$44)</f>
        <v>1.33</v>
      </c>
      <c r="I29" s="58">
        <f t="shared" si="13"/>
        <v>7.4101299999999995E-2</v>
      </c>
      <c r="J29" s="58">
        <f t="shared" si="14"/>
        <v>0</v>
      </c>
      <c r="K29" s="58">
        <f t="shared" si="15"/>
        <v>-3.1661300000000003E-2</v>
      </c>
      <c r="L29" s="58">
        <f t="shared" si="18"/>
        <v>0</v>
      </c>
      <c r="M29" s="58">
        <f t="shared" si="16"/>
        <v>-0.1806883</v>
      </c>
      <c r="N29" s="58">
        <f t="shared" si="19"/>
        <v>1</v>
      </c>
      <c r="O29" s="106">
        <f t="shared" si="17"/>
        <v>1.0036760983434068</v>
      </c>
    </row>
    <row r="30" spans="3:20" x14ac:dyDescent="0.2">
      <c r="C30" s="58" t="s">
        <v>1</v>
      </c>
      <c r="D30" s="58" t="s">
        <v>48</v>
      </c>
      <c r="E30" s="58" t="s">
        <v>54</v>
      </c>
      <c r="F30" s="58">
        <f t="shared" si="11"/>
        <v>0</v>
      </c>
      <c r="G30" s="58">
        <f t="shared" si="12"/>
        <v>0.18988450000000001</v>
      </c>
      <c r="H30" s="69">
        <f>SUMIF('Scenario Options (hidden)'!$B$35:$B$44,Summary!$G$20,'Scenario Options (hidden)'!$A$35:$A$44)</f>
        <v>1.33</v>
      </c>
      <c r="I30" s="58">
        <f t="shared" si="13"/>
        <v>7.4101299999999995E-2</v>
      </c>
      <c r="J30" s="58">
        <f t="shared" si="14"/>
        <v>1</v>
      </c>
      <c r="K30" s="58">
        <f t="shared" si="15"/>
        <v>-3.1661300000000003E-2</v>
      </c>
      <c r="L30" s="58">
        <f t="shared" si="18"/>
        <v>0</v>
      </c>
      <c r="M30" s="58">
        <f t="shared" si="16"/>
        <v>-0.1806883</v>
      </c>
      <c r="N30" s="58">
        <f t="shared" si="19"/>
        <v>0</v>
      </c>
      <c r="O30" s="106">
        <f t="shared" si="17"/>
        <v>1.1003238293555695</v>
      </c>
    </row>
    <row r="31" spans="3:20" x14ac:dyDescent="0.2">
      <c r="C31" s="58" t="s">
        <v>1</v>
      </c>
      <c r="D31" s="58" t="s">
        <v>0</v>
      </c>
      <c r="E31" s="58" t="s">
        <v>54</v>
      </c>
      <c r="F31" s="58">
        <f t="shared" si="11"/>
        <v>0</v>
      </c>
      <c r="G31" s="58">
        <f t="shared" si="12"/>
        <v>0.18988450000000001</v>
      </c>
      <c r="H31" s="69">
        <f>SUMIF('Scenario Options (hidden)'!$B$35:$B$44,Summary!$G$20,'Scenario Options (hidden)'!$A$35:$A$44)</f>
        <v>1.33</v>
      </c>
      <c r="I31" s="58">
        <f t="shared" si="13"/>
        <v>7.4101299999999995E-2</v>
      </c>
      <c r="J31" s="58">
        <f t="shared" si="14"/>
        <v>1</v>
      </c>
      <c r="K31" s="58">
        <f t="shared" si="15"/>
        <v>-3.1661300000000003E-2</v>
      </c>
      <c r="L31" s="58">
        <f t="shared" si="18"/>
        <v>1</v>
      </c>
      <c r="M31" s="58">
        <f t="shared" si="16"/>
        <v>-0.1806883</v>
      </c>
      <c r="N31" s="58">
        <f t="shared" si="19"/>
        <v>0</v>
      </c>
      <c r="O31" s="106">
        <f t="shared" si="17"/>
        <v>1.0888436304659601</v>
      </c>
    </row>
    <row r="32" spans="3:20" x14ac:dyDescent="0.2">
      <c r="C32" s="58" t="s">
        <v>1</v>
      </c>
      <c r="D32" s="58" t="s">
        <v>48</v>
      </c>
      <c r="E32" s="58" t="s">
        <v>53</v>
      </c>
      <c r="F32" s="58">
        <f t="shared" si="11"/>
        <v>0</v>
      </c>
      <c r="G32" s="58">
        <f t="shared" si="12"/>
        <v>0.18988450000000001</v>
      </c>
      <c r="H32" s="69">
        <f>SUMIF('Scenario Options (hidden)'!$B$35:$B$44,Summary!$G$20,'Scenario Options (hidden)'!$A$35:$A$44)</f>
        <v>1.33</v>
      </c>
      <c r="I32" s="58">
        <f t="shared" si="13"/>
        <v>7.4101299999999995E-2</v>
      </c>
      <c r="J32" s="58">
        <f t="shared" si="14"/>
        <v>1</v>
      </c>
      <c r="K32" s="58">
        <f t="shared" si="15"/>
        <v>-3.1661300000000003E-2</v>
      </c>
      <c r="L32" s="58">
        <f t="shared" si="18"/>
        <v>0</v>
      </c>
      <c r="M32" s="58">
        <f t="shared" si="16"/>
        <v>-0.1806883</v>
      </c>
      <c r="N32" s="58">
        <f t="shared" si="19"/>
        <v>1</v>
      </c>
      <c r="O32" s="106">
        <f t="shared" si="17"/>
        <v>1.0328085117307726</v>
      </c>
    </row>
    <row r="33" spans="3:15" x14ac:dyDescent="0.2">
      <c r="C33" s="58"/>
      <c r="D33" s="58"/>
      <c r="H33" s="69"/>
      <c r="O33" s="70"/>
    </row>
    <row r="34" spans="3:15" hidden="1" x14ac:dyDescent="0.2">
      <c r="C34" s="58"/>
      <c r="D34" s="58"/>
      <c r="H34" s="69"/>
      <c r="O34" s="70"/>
    </row>
    <row r="35" spans="3:15" hidden="1" x14ac:dyDescent="0.2">
      <c r="H35" s="69"/>
    </row>
    <row r="36" spans="3:15" hidden="1" x14ac:dyDescent="0.2"/>
    <row r="37" spans="3:15" hidden="1" x14ac:dyDescent="0.2"/>
    <row r="38" spans="3:15" hidden="1" x14ac:dyDescent="0.2"/>
    <row r="39" spans="3:15" hidden="1" x14ac:dyDescent="0.2"/>
    <row r="40" spans="3:15" hidden="1" x14ac:dyDescent="0.2"/>
    <row r="41" spans="3:15" hidden="1" x14ac:dyDescent="0.2"/>
    <row r="42" spans="3:15" hidden="1" x14ac:dyDescent="0.2"/>
    <row r="43" spans="3:15" hidden="1" x14ac:dyDescent="0.2"/>
    <row r="44" spans="3:15" hidden="1" x14ac:dyDescent="0.2"/>
    <row r="45" spans="3:15" hidden="1" x14ac:dyDescent="0.2"/>
    <row r="46" spans="3:15" hidden="1" x14ac:dyDescent="0.2"/>
    <row r="47" spans="3:15" hidden="1" x14ac:dyDescent="0.2"/>
    <row r="48" spans="3:15" hidden="1" x14ac:dyDescent="0.2"/>
    <row r="49" hidden="1" x14ac:dyDescent="0.2"/>
    <row r="50" hidden="1"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topLeftCell="A2" workbookViewId="0">
      <selection activeCell="E10" sqref="E10"/>
    </sheetView>
  </sheetViews>
  <sheetFormatPr baseColWidth="10" defaultColWidth="0" defaultRowHeight="15" zeroHeight="1" x14ac:dyDescent="0.2"/>
  <cols>
    <col min="1" max="1" width="12" bestFit="1" customWidth="1"/>
    <col min="2" max="2" width="25.6640625" bestFit="1" customWidth="1"/>
    <col min="3" max="3" width="10.5" customWidth="1"/>
    <col min="4" max="4" width="10.33203125" customWidth="1"/>
    <col min="5" max="5" width="7.5" bestFit="1" customWidth="1"/>
    <col min="6" max="6" width="9.1640625" hidden="1" customWidth="1"/>
    <col min="7" max="16384" width="9.1640625" hidden="1"/>
  </cols>
  <sheetData>
    <row r="1" spans="1:5" hidden="1" x14ac:dyDescent="0.2">
      <c r="A1" s="138" t="s">
        <v>49</v>
      </c>
      <c r="B1" s="138"/>
      <c r="C1" s="138"/>
      <c r="D1" s="138"/>
      <c r="E1" s="138"/>
    </row>
    <row r="2" spans="1:5" s="55" customFormat="1" ht="48" x14ac:dyDescent="0.2">
      <c r="A2" s="47" t="s">
        <v>3</v>
      </c>
      <c r="B2" s="47" t="s">
        <v>2</v>
      </c>
      <c r="C2" s="48" t="s">
        <v>41</v>
      </c>
      <c r="D2" s="47" t="s">
        <v>42</v>
      </c>
      <c r="E2" s="41" t="s">
        <v>46</v>
      </c>
    </row>
    <row r="3" spans="1:5" x14ac:dyDescent="0.2">
      <c r="A3" s="34" t="s">
        <v>4</v>
      </c>
      <c r="B3" s="34" t="s">
        <v>38</v>
      </c>
      <c r="C3" s="91">
        <v>4.4444444444444446E-2</v>
      </c>
      <c r="D3" s="45">
        <f>Summary!G9</f>
        <v>4.4444444444444446E-2</v>
      </c>
      <c r="E3" s="52">
        <f>D3/SUM($D$3:$D$5)</f>
        <v>0.5714285714285714</v>
      </c>
    </row>
    <row r="4" spans="1:5" x14ac:dyDescent="0.2">
      <c r="A4" s="34" t="s">
        <v>4</v>
      </c>
      <c r="B4" s="34" t="s">
        <v>0</v>
      </c>
      <c r="C4" s="91">
        <v>2.2222222222222223E-2</v>
      </c>
      <c r="D4" s="45">
        <f>Summary!G10</f>
        <v>2.2222222222222223E-2</v>
      </c>
      <c r="E4" s="52">
        <f t="shared" ref="E4:E5" si="0">D4/SUM($D$3:$D$5)</f>
        <v>0.2857142857142857</v>
      </c>
    </row>
    <row r="5" spans="1:5" x14ac:dyDescent="0.2">
      <c r="A5" s="34" t="s">
        <v>4</v>
      </c>
      <c r="B5" s="34" t="s">
        <v>39</v>
      </c>
      <c r="C5" s="91">
        <v>1.1111111111111112E-2</v>
      </c>
      <c r="D5" s="45">
        <f>Summary!G11</f>
        <v>1.1111111111111112E-2</v>
      </c>
      <c r="E5" s="52">
        <f t="shared" si="0"/>
        <v>0.14285714285714285</v>
      </c>
    </row>
    <row r="6" spans="1:5" x14ac:dyDescent="0.2">
      <c r="A6" s="53"/>
      <c r="B6" s="53"/>
      <c r="C6" s="53"/>
      <c r="D6" s="53"/>
      <c r="E6" s="53"/>
    </row>
    <row r="7" spans="1:5" x14ac:dyDescent="0.2">
      <c r="A7" s="139" t="s">
        <v>50</v>
      </c>
      <c r="B7" s="139"/>
      <c r="C7" s="139"/>
      <c r="D7" s="139"/>
      <c r="E7" s="139"/>
    </row>
    <row r="8" spans="1:5" s="55" customFormat="1" ht="48" x14ac:dyDescent="0.2">
      <c r="A8" s="39" t="s">
        <v>3</v>
      </c>
      <c r="B8" s="39" t="s">
        <v>47</v>
      </c>
      <c r="C8" s="40" t="s">
        <v>41</v>
      </c>
      <c r="D8" s="39" t="s">
        <v>42</v>
      </c>
      <c r="E8" s="39" t="s">
        <v>46</v>
      </c>
    </row>
    <row r="9" spans="1:5" x14ac:dyDescent="0.2">
      <c r="A9" s="34" t="s">
        <v>4</v>
      </c>
      <c r="B9" s="34" t="s">
        <v>48</v>
      </c>
      <c r="C9" s="52">
        <f>C3+C5</f>
        <v>5.5555555555555559E-2</v>
      </c>
      <c r="D9" s="52">
        <f>D3+D5</f>
        <v>5.5555555555555559E-2</v>
      </c>
      <c r="E9" s="54">
        <f>D9/SUM(D9:D10)</f>
        <v>0.7142857142857143</v>
      </c>
    </row>
    <row r="10" spans="1:5" x14ac:dyDescent="0.2">
      <c r="A10" s="34" t="s">
        <v>4</v>
      </c>
      <c r="B10" s="34" t="s">
        <v>0</v>
      </c>
      <c r="C10" s="52">
        <f>C4</f>
        <v>2.2222222222222223E-2</v>
      </c>
      <c r="D10" s="52">
        <f>D4</f>
        <v>2.2222222222222223E-2</v>
      </c>
      <c r="E10" s="54">
        <f>D10/SUM(D9:D10)</f>
        <v>0.2857142857142857</v>
      </c>
    </row>
    <row r="11" spans="1:5" hidden="1" x14ac:dyDescent="0.2"/>
  </sheetData>
  <mergeCells count="2">
    <mergeCell ref="A1:E1"/>
    <mergeCell ref="A7:E7"/>
  </mergeCells>
  <dataValidations count="1">
    <dataValidation type="decimal" allowBlank="1" showInputMessage="1" showErrorMessage="1" sqref="D3:D5" xr:uid="{00000000-0002-0000-0400-000000000000}">
      <formula1>0</formula1>
      <formula2>1</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tabSelected="1" workbookViewId="0">
      <selection activeCell="F3" sqref="F3"/>
    </sheetView>
  </sheetViews>
  <sheetFormatPr baseColWidth="10" defaultColWidth="0" defaultRowHeight="15" zeroHeight="1" x14ac:dyDescent="0.2"/>
  <cols>
    <col min="1" max="2" width="14.6640625" style="37" customWidth="1"/>
    <col min="3" max="3" width="31" style="37" bestFit="1" customWidth="1"/>
    <col min="4" max="6" width="14.6640625" style="37" customWidth="1"/>
    <col min="7" max="7" width="14.6640625" style="37" hidden="1" customWidth="1"/>
    <col min="8" max="16384" width="9.1640625" hidden="1"/>
  </cols>
  <sheetData>
    <row r="1" spans="1:7" x14ac:dyDescent="0.2">
      <c r="A1" s="140" t="s">
        <v>23</v>
      </c>
      <c r="B1" s="140"/>
      <c r="C1" s="140"/>
      <c r="D1" s="140"/>
      <c r="E1" s="140"/>
      <c r="F1" s="140"/>
      <c r="G1" s="140"/>
    </row>
    <row r="2" spans="1:7" ht="48" x14ac:dyDescent="0.2">
      <c r="A2" s="77" t="s">
        <v>3</v>
      </c>
      <c r="B2" s="77" t="s">
        <v>51</v>
      </c>
      <c r="C2" s="77" t="s">
        <v>52</v>
      </c>
      <c r="D2" s="39" t="s">
        <v>26</v>
      </c>
      <c r="E2" s="39" t="s">
        <v>27</v>
      </c>
      <c r="F2" s="39" t="s">
        <v>28</v>
      </c>
      <c r="G2" s="56"/>
    </row>
    <row r="3" spans="1:7" x14ac:dyDescent="0.2">
      <c r="A3" s="109" t="s">
        <v>4</v>
      </c>
      <c r="B3" s="109" t="s">
        <v>48</v>
      </c>
      <c r="C3" s="109"/>
      <c r="D3" s="110">
        <v>-1352</v>
      </c>
      <c r="E3" s="111">
        <v>273</v>
      </c>
      <c r="F3" s="116">
        <v>1.7</v>
      </c>
      <c r="G3" s="56"/>
    </row>
    <row r="4" spans="1:7" x14ac:dyDescent="0.2">
      <c r="A4" s="109" t="s">
        <v>4</v>
      </c>
      <c r="B4" s="109" t="s">
        <v>0</v>
      </c>
      <c r="C4" s="109"/>
      <c r="D4" s="112">
        <v>3186</v>
      </c>
      <c r="E4" s="56">
        <v>0</v>
      </c>
      <c r="F4" s="116">
        <v>0.8</v>
      </c>
      <c r="G4" s="56"/>
    </row>
    <row r="5" spans="1:7" x14ac:dyDescent="0.2">
      <c r="A5" s="109" t="s">
        <v>1</v>
      </c>
      <c r="B5" s="109" t="s">
        <v>48</v>
      </c>
      <c r="C5" s="109" t="s">
        <v>54</v>
      </c>
      <c r="D5" s="109">
        <v>-713</v>
      </c>
      <c r="E5" s="109">
        <v>131</v>
      </c>
      <c r="F5" s="56">
        <v>0.8</v>
      </c>
      <c r="G5" s="56"/>
    </row>
    <row r="6" spans="1:7" x14ac:dyDescent="0.2">
      <c r="A6" s="109" t="s">
        <v>1</v>
      </c>
      <c r="B6" s="109" t="s">
        <v>0</v>
      </c>
      <c r="C6" s="109" t="s">
        <v>54</v>
      </c>
      <c r="D6" s="109">
        <v>588</v>
      </c>
      <c r="E6" s="56">
        <v>113</v>
      </c>
      <c r="F6" s="56">
        <v>0.9</v>
      </c>
      <c r="G6" s="56"/>
    </row>
    <row r="7" spans="1:7" x14ac:dyDescent="0.2">
      <c r="A7" s="109" t="s">
        <v>1</v>
      </c>
      <c r="B7" s="109" t="s">
        <v>48</v>
      </c>
      <c r="C7" s="109" t="s">
        <v>53</v>
      </c>
      <c r="D7" s="109">
        <v>-602</v>
      </c>
      <c r="E7" s="56">
        <v>102</v>
      </c>
      <c r="F7" s="56">
        <v>0.5</v>
      </c>
      <c r="G7" s="56"/>
    </row>
    <row r="8" spans="1:7" hidden="1" x14ac:dyDescent="0.2"/>
    <row r="9" spans="1:7" hidden="1" x14ac:dyDescent="0.2"/>
    <row r="10" spans="1:7" hidden="1" x14ac:dyDescent="0.2"/>
    <row r="11" spans="1:7" hidden="1" x14ac:dyDescent="0.2"/>
    <row r="12" spans="1:7" hidden="1" x14ac:dyDescent="0.2"/>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0"/>
  <sheetViews>
    <sheetView workbookViewId="0">
      <selection activeCell="O20" sqref="O20"/>
    </sheetView>
  </sheetViews>
  <sheetFormatPr baseColWidth="10" defaultColWidth="0" defaultRowHeight="15" zeroHeight="1" x14ac:dyDescent="0.2"/>
  <cols>
    <col min="1" max="1" width="14.83203125" customWidth="1"/>
    <col min="2" max="2" width="14.5" style="1" customWidth="1"/>
    <col min="3" max="16384" width="9.1640625" hidden="1"/>
  </cols>
  <sheetData>
    <row r="1" spans="1:2" x14ac:dyDescent="0.2">
      <c r="A1" s="141" t="s">
        <v>57</v>
      </c>
      <c r="B1" s="141"/>
    </row>
    <row r="2" spans="1:2" x14ac:dyDescent="0.2">
      <c r="A2" t="s">
        <v>29</v>
      </c>
      <c r="B2" s="1" t="s">
        <v>56</v>
      </c>
    </row>
    <row r="3" spans="1:2" x14ac:dyDescent="0.2">
      <c r="A3" s="1">
        <v>0.5</v>
      </c>
      <c r="B3" s="1">
        <v>-0.5</v>
      </c>
    </row>
    <row r="4" spans="1:2" x14ac:dyDescent="0.2">
      <c r="A4" s="1">
        <v>0.75</v>
      </c>
      <c r="B4" s="1">
        <v>-0.25</v>
      </c>
    </row>
    <row r="5" spans="1:2" x14ac:dyDescent="0.2">
      <c r="A5" s="1">
        <v>0.9</v>
      </c>
      <c r="B5" s="1">
        <v>-0.1</v>
      </c>
    </row>
    <row r="6" spans="1:2" x14ac:dyDescent="0.2">
      <c r="A6" s="1">
        <v>1</v>
      </c>
      <c r="B6" s="1">
        <v>0</v>
      </c>
    </row>
    <row r="7" spans="1:2" x14ac:dyDescent="0.2">
      <c r="A7" s="1">
        <v>1.1000000000000001</v>
      </c>
      <c r="B7" s="1">
        <v>0.1</v>
      </c>
    </row>
    <row r="8" spans="1:2" x14ac:dyDescent="0.2">
      <c r="A8" s="1">
        <v>1.25</v>
      </c>
      <c r="B8" s="1">
        <v>0.25</v>
      </c>
    </row>
    <row r="9" spans="1:2" x14ac:dyDescent="0.2">
      <c r="A9" s="1">
        <v>1.5</v>
      </c>
      <c r="B9" s="1">
        <v>0.5</v>
      </c>
    </row>
    <row r="10" spans="1:2" x14ac:dyDescent="0.2">
      <c r="A10" s="1">
        <v>1.75</v>
      </c>
      <c r="B10" s="1">
        <v>0.75</v>
      </c>
    </row>
    <row r="11" spans="1:2" x14ac:dyDescent="0.2">
      <c r="A11" s="1">
        <v>2</v>
      </c>
      <c r="B11" s="1">
        <v>1</v>
      </c>
    </row>
    <row r="12" spans="1:2" x14ac:dyDescent="0.2">
      <c r="A12" s="142" t="s">
        <v>20</v>
      </c>
      <c r="B12" s="142"/>
    </row>
    <row r="13" spans="1:2" ht="16" x14ac:dyDescent="0.2">
      <c r="A13" s="50" t="s">
        <v>9</v>
      </c>
      <c r="B13" s="1" t="s">
        <v>56</v>
      </c>
    </row>
    <row r="14" spans="1:2" x14ac:dyDescent="0.2">
      <c r="A14" s="1">
        <v>0.8</v>
      </c>
      <c r="B14" s="1">
        <v>-0.2</v>
      </c>
    </row>
    <row r="15" spans="1:2" x14ac:dyDescent="0.2">
      <c r="A15" s="1">
        <v>0.85</v>
      </c>
      <c r="B15" s="1">
        <v>-0.15</v>
      </c>
    </row>
    <row r="16" spans="1:2" x14ac:dyDescent="0.2">
      <c r="A16" s="1">
        <v>0.9</v>
      </c>
      <c r="B16" s="1">
        <v>-0.1</v>
      </c>
    </row>
    <row r="17" spans="1:2" x14ac:dyDescent="0.2">
      <c r="A17" s="1">
        <v>0.95</v>
      </c>
      <c r="B17" s="1">
        <v>-0.05</v>
      </c>
    </row>
    <row r="18" spans="1:2" x14ac:dyDescent="0.2">
      <c r="A18" s="1">
        <v>1</v>
      </c>
      <c r="B18" s="1">
        <v>0</v>
      </c>
    </row>
    <row r="19" spans="1:2" x14ac:dyDescent="0.2">
      <c r="A19" s="1">
        <v>1.05</v>
      </c>
      <c r="B19" s="1">
        <v>0.05</v>
      </c>
    </row>
    <row r="20" spans="1:2" x14ac:dyDescent="0.2">
      <c r="A20" s="1">
        <v>1.1000000000000001</v>
      </c>
      <c r="B20" s="1">
        <v>0.1</v>
      </c>
    </row>
    <row r="21" spans="1:2" x14ac:dyDescent="0.2">
      <c r="A21" s="1">
        <v>1.1499999999999999</v>
      </c>
      <c r="B21" s="1">
        <v>0.15</v>
      </c>
    </row>
    <row r="22" spans="1:2" x14ac:dyDescent="0.2">
      <c r="A22" s="1">
        <v>1.2</v>
      </c>
      <c r="B22" s="1">
        <v>0.2</v>
      </c>
    </row>
    <row r="23" spans="1:2" x14ac:dyDescent="0.2">
      <c r="A23" s="143" t="s">
        <v>21</v>
      </c>
      <c r="B23" s="143"/>
    </row>
    <row r="24" spans="1:2" ht="16" x14ac:dyDescent="0.2">
      <c r="A24" s="50" t="s">
        <v>9</v>
      </c>
      <c r="B24" s="1" t="s">
        <v>56</v>
      </c>
    </row>
    <row r="25" spans="1:2" x14ac:dyDescent="0.2">
      <c r="A25" s="2">
        <v>0</v>
      </c>
      <c r="B25" s="1">
        <v>-1</v>
      </c>
    </row>
    <row r="26" spans="1:2" x14ac:dyDescent="0.2">
      <c r="A26" s="1">
        <v>0.5</v>
      </c>
      <c r="B26" s="1">
        <v>-0.5</v>
      </c>
    </row>
    <row r="27" spans="1:2" x14ac:dyDescent="0.2">
      <c r="A27" s="1">
        <v>0.7</v>
      </c>
      <c r="B27" s="1">
        <v>-0.3</v>
      </c>
    </row>
    <row r="28" spans="1:2" x14ac:dyDescent="0.2">
      <c r="A28" s="1">
        <v>0.9</v>
      </c>
      <c r="B28" s="1">
        <v>-0.1</v>
      </c>
    </row>
    <row r="29" spans="1:2" x14ac:dyDescent="0.2">
      <c r="A29" s="2">
        <v>1</v>
      </c>
      <c r="B29" s="1">
        <v>0</v>
      </c>
    </row>
    <row r="30" spans="1:2" x14ac:dyDescent="0.2">
      <c r="A30" s="2">
        <v>1.1000000000000001</v>
      </c>
      <c r="B30" s="1">
        <v>0.1</v>
      </c>
    </row>
    <row r="31" spans="1:2" x14ac:dyDescent="0.2">
      <c r="A31" s="2">
        <v>1.3</v>
      </c>
      <c r="B31" s="1">
        <v>0.3</v>
      </c>
    </row>
    <row r="32" spans="1:2" x14ac:dyDescent="0.2">
      <c r="A32" s="2">
        <v>1.5</v>
      </c>
      <c r="B32" s="1">
        <v>0.5</v>
      </c>
    </row>
    <row r="33" spans="1:2" x14ac:dyDescent="0.2">
      <c r="A33" s="2">
        <v>2</v>
      </c>
      <c r="B33" s="1">
        <v>1</v>
      </c>
    </row>
    <row r="34" spans="1:2" x14ac:dyDescent="0.2">
      <c r="A34" s="144" t="s">
        <v>22</v>
      </c>
      <c r="B34" s="144"/>
    </row>
    <row r="35" spans="1:2" ht="16" x14ac:dyDescent="0.2">
      <c r="A35" s="50" t="s">
        <v>9</v>
      </c>
      <c r="B35" s="50"/>
    </row>
    <row r="36" spans="1:2" x14ac:dyDescent="0.2">
      <c r="A36" s="1">
        <v>0.25</v>
      </c>
      <c r="B36" s="1">
        <v>-0.75</v>
      </c>
    </row>
    <row r="37" spans="1:2" x14ac:dyDescent="0.2">
      <c r="A37" s="1">
        <v>0.5</v>
      </c>
      <c r="B37" s="1">
        <v>-0.5</v>
      </c>
    </row>
    <row r="38" spans="1:2" x14ac:dyDescent="0.2">
      <c r="A38" s="1">
        <v>0.67</v>
      </c>
      <c r="B38" s="1">
        <v>-0.33</v>
      </c>
    </row>
    <row r="39" spans="1:2" x14ac:dyDescent="0.2">
      <c r="A39" s="1">
        <v>0.8</v>
      </c>
      <c r="B39" s="1">
        <v>-0.2</v>
      </c>
    </row>
    <row r="40" spans="1:2" x14ac:dyDescent="0.2">
      <c r="A40" s="2">
        <v>1</v>
      </c>
      <c r="B40" s="1">
        <v>0</v>
      </c>
    </row>
    <row r="41" spans="1:2" x14ac:dyDescent="0.2">
      <c r="A41" s="2">
        <v>1.2</v>
      </c>
      <c r="B41" s="1">
        <v>0.2</v>
      </c>
    </row>
    <row r="42" spans="1:2" x14ac:dyDescent="0.2">
      <c r="A42" s="2">
        <v>1.33</v>
      </c>
      <c r="B42" s="1">
        <v>0.33</v>
      </c>
    </row>
    <row r="43" spans="1:2" x14ac:dyDescent="0.2">
      <c r="A43" s="2">
        <v>1.5</v>
      </c>
      <c r="B43" s="1">
        <v>0.5</v>
      </c>
    </row>
    <row r="44" spans="1:2" x14ac:dyDescent="0.2">
      <c r="A44" s="2">
        <v>1.75</v>
      </c>
      <c r="B44" s="1">
        <v>0.75</v>
      </c>
    </row>
    <row r="45" spans="1:2" hidden="1" x14ac:dyDescent="0.2"/>
    <row r="46" spans="1:2" hidden="1" x14ac:dyDescent="0.2"/>
    <row r="47" spans="1:2" hidden="1" x14ac:dyDescent="0.2"/>
    <row r="48" spans="1:2" hidden="1" x14ac:dyDescent="0.2"/>
    <row r="49" hidden="1" x14ac:dyDescent="0.2"/>
    <row r="50" hidden="1" x14ac:dyDescent="0.2"/>
  </sheetData>
  <sheetProtection sheet="1" objects="1" scenarios="1"/>
  <mergeCells count="4">
    <mergeCell ref="A1:B1"/>
    <mergeCell ref="A12:B12"/>
    <mergeCell ref="A23:B23"/>
    <mergeCell ref="A34:B3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68AB2C62-8F50-48A3-B968-165CBE04D6A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User Guide</vt:lpstr>
      <vt:lpstr>Summary</vt:lpstr>
      <vt:lpstr>Detailed Results</vt:lpstr>
      <vt:lpstr>Calculations (hidden)</vt:lpstr>
      <vt:lpstr>MF Weights (hidden)</vt:lpstr>
      <vt:lpstr>Savings Buckets (hidden)</vt:lpstr>
      <vt:lpstr>Scenario Options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Geoffrey</dc:creator>
  <cp:lastModifiedBy>Microsoft Office User</cp:lastModifiedBy>
  <dcterms:created xsi:type="dcterms:W3CDTF">2018-08-10T18:55:03Z</dcterms:created>
  <dcterms:modified xsi:type="dcterms:W3CDTF">2019-07-27T13:33:26Z</dcterms:modified>
</cp:coreProperties>
</file>