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drawings/drawing11.xml" ContentType="application/vnd.openxmlformats-officedocument.drawing+xml"/>
  <Override PartName="/xl/comments3.xml" ContentType="application/vnd.openxmlformats-officedocument.spreadsheetml.comments+xml"/>
  <Override PartName="/xl/charts/chart27.xml" ContentType="application/vnd.openxmlformats-officedocument.drawingml.chart+xml"/>
  <Override PartName="/xl/charts/chart28.xml" ContentType="application/vnd.openxmlformats-officedocument.drawingml.chart+xml"/>
  <Override PartName="/xl/drawings/drawing12.xml" ContentType="application/vnd.openxmlformats-officedocument.drawing+xml"/>
  <Override PartName="/xl/comments4.xml" ContentType="application/vnd.openxmlformats-officedocument.spreadsheetml.comments+xml"/>
  <Override PartName="/xl/charts/chart29.xml" ContentType="application/vnd.openxmlformats-officedocument.drawingml.chart+xml"/>
  <Override PartName="/xl/charts/chart30.xml" ContentType="application/vnd.openxmlformats-officedocument.drawingml.chart+xml"/>
  <Override PartName="/xl/comments5.xml" ContentType="application/vnd.openxmlformats-officedocument.spreadsheetml.comments+xml"/>
  <Override PartName="/xl/drawings/drawing13.xml" ContentType="application/vnd.openxmlformats-officedocument.drawing+xml"/>
  <Override PartName="/xl/charts/chart31.xml" ContentType="application/vnd.openxmlformats-officedocument.drawingml.chart+xml"/>
  <Override PartName="/xl/drawings/drawing14.xml" ContentType="application/vnd.openxmlformats-officedocument.drawing+xml"/>
  <Override PartName="/xl/comments6.xml" ContentType="application/vnd.openxmlformats-officedocument.spreadsheetml.comments+xml"/>
  <Override PartName="/xl/charts/chart32.xml" ContentType="application/vnd.openxmlformats-officedocument.drawingml.chart+xml"/>
  <Override PartName="/xl/charts/chart33.xml" ContentType="application/vnd.openxmlformats-officedocument.drawingml.chart+xml"/>
  <Override PartName="/xl/comments7.xml" ContentType="application/vnd.openxmlformats-officedocument.spreadsheetml.comments+xml"/>
  <Override PartName="/xl/drawings/drawing15.xml" ContentType="application/vnd.openxmlformats-officedocument.drawing+xml"/>
  <Override PartName="/xl/charts/chart34.xml" ContentType="application/vnd.openxmlformats-officedocument.drawingml.chart+xml"/>
  <Override PartName="/xl/comments8.xml" ContentType="application/vnd.openxmlformats-officedocument.spreadsheetml.comments+xml"/>
  <Override PartName="/xl/drawings/drawing16.xml" ContentType="application/vnd.openxmlformats-officedocument.drawing+xml"/>
  <Override PartName="/xl/charts/chart35.xml" ContentType="application/vnd.openxmlformats-officedocument.drawingml.chart+xml"/>
  <Override PartName="/xl/comments9.xml" ContentType="application/vnd.openxmlformats-officedocument.spreadsheetml.comments+xml"/>
  <Override PartName="/xl/drawings/drawing17.xml" ContentType="application/vnd.openxmlformats-officedocument.drawing+xml"/>
  <Override PartName="/xl/charts/chart36.xml" ContentType="application/vnd.openxmlformats-officedocument.drawingml.chart+xml"/>
  <Override PartName="/xl/comments10.xml" ContentType="application/vnd.openxmlformats-officedocument.spreadsheetml.comments+xml"/>
  <Override PartName="/xl/drawings/drawing18.xml" ContentType="application/vnd.openxmlformats-officedocument.drawing+xml"/>
  <Override PartName="/xl/charts/chart37.xml" ContentType="application/vnd.openxmlformats-officedocument.drawingml.chart+xml"/>
  <Override PartName="/xl/drawings/drawing19.xml" ContentType="application/vnd.openxmlformats-officedocument.drawing+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drawings/drawing22.xml" ContentType="application/vnd.openxmlformats-officedocument.drawing+xml"/>
  <Override PartName="/xl/charts/chart41.xml" ContentType="application/vnd.openxmlformats-officedocument.drawingml.chart+xml"/>
  <Override PartName="/xl/drawings/drawing23.xml" ContentType="application/vnd.openxmlformats-officedocument.drawing+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codeName="ThisWorkbook"/>
  <mc:AlternateContent xmlns:mc="http://schemas.openxmlformats.org/markup-compatibility/2006">
    <mc:Choice Requires="x15">
      <x15ac:absPath xmlns:x15ac="http://schemas.microsoft.com/office/spreadsheetml/2010/11/ac" url="\\Nu.Com\Data\DepartmentData\UG-C&amp;LM\Deptdata\MPR\MKTPLAN\2023 eafc\Electric Plan\"/>
    </mc:Choice>
  </mc:AlternateContent>
  <xr:revisionPtr revIDLastSave="0" documentId="13_ncr:1_{094A36AD-354B-4DDA-AC54-D3DFD4DFF0D4}" xr6:coauthVersionLast="46" xr6:coauthVersionMax="47" xr10:uidLastSave="{00000000-0000-0000-0000-000000000000}"/>
  <bookViews>
    <workbookView xWindow="-120" yWindow="-120" windowWidth="29040" windowHeight="15840" tabRatio="820" firstSheet="34" activeTab="39" xr2:uid="{00000000-000D-0000-FFFF-FFFF00000000}"/>
  </bookViews>
  <sheets>
    <sheet name=" 2022 - 2024 Combined Table A1" sheetId="62" r:id="rId1"/>
    <sheet name="2021 Joint Table A1 Pies" sheetId="159" state="hidden" r:id="rId2"/>
    <sheet name="2022 Joint Table A1 Pies " sheetId="178" state="hidden" r:id="rId3"/>
    <sheet name="2022 New Joint Table A1" sheetId="193" r:id="rId4"/>
    <sheet name="2023 Joint Table A1 Pies" sheetId="179" state="hidden" r:id="rId5"/>
    <sheet name="2023 New Joint Table A1" sheetId="194" r:id="rId6"/>
    <sheet name="2024 Joint Table A1 Pies " sheetId="180" state="hidden" r:id="rId7"/>
    <sheet name="2024 New Joint Table A1" sheetId="195" r:id="rId8"/>
    <sheet name="2022-2025 Comb Revenues" sheetId="190" r:id="rId9"/>
    <sheet name=" 2021 - 2024 Comb Revenues A2" sheetId="85" state="hidden" r:id="rId10"/>
    <sheet name="ES CT Electric Table A  " sheetId="48" r:id="rId11"/>
    <sheet name="Table A Pie Sector Alloc2022-25" sheetId="155" r:id="rId12"/>
    <sheet name="ES CT Electric 2021 Table A Pie" sheetId="168" state="hidden" r:id="rId13"/>
    <sheet name="ES CT Electric 2022 Table A Pie" sheetId="161" r:id="rId14"/>
    <sheet name="ES CT Electric 2023 Table A Pie" sheetId="170" r:id="rId15"/>
    <sheet name="ES CT Electric 2023 Table A-R" sheetId="191" state="hidden" r:id="rId16"/>
    <sheet name="ES CT Electric 2024 Table A Pie" sheetId="171" r:id="rId17"/>
    <sheet name="ES CT Electric Table C 2021" sheetId="163" state="hidden" r:id="rId18"/>
    <sheet name="ES CT Electric 2021 Table C Pie" sheetId="165" state="hidden" r:id="rId19"/>
    <sheet name="ES CT Electric 2024 Table A-R" sheetId="192" state="hidden" r:id="rId20"/>
    <sheet name="ES CT Electric 2022 Table C " sheetId="172" r:id="rId21"/>
    <sheet name="ES CT Electric 2022 Table C Pie" sheetId="173" r:id="rId22"/>
    <sheet name="ES CT Electric 2023 Table C " sheetId="174" r:id="rId23"/>
    <sheet name="ES CT Electric 2023 Table C Pie" sheetId="175" r:id="rId24"/>
    <sheet name="ES CT Electric 2024 Table C " sheetId="176" r:id="rId25"/>
    <sheet name="ES CT Electric 2024 Table C Pie" sheetId="177" r:id="rId26"/>
    <sheet name="2014-25 ES CT E Table D-$" sheetId="87" r:id="rId27"/>
    <sheet name="2014-24 ES CT E Table D1-kW" sheetId="119" r:id="rId28"/>
    <sheet name="2014-25 ESCTETable D2-annualkWh" sheetId="88" r:id="rId29"/>
    <sheet name="2014-24 ESCTETable D3-lftimekWh" sheetId="120" r:id="rId30"/>
    <sheet name="2014-24 Table D4 Units " sheetId="108" r:id="rId31"/>
    <sheet name="2014-25 ES CT E Table D5-kW" sheetId="148" r:id="rId32"/>
    <sheet name="2014-24 ESCTETable D6-annualkWh" sheetId="149" r:id="rId33"/>
    <sheet name="2014-24 ESCTETable D7-lftimekWh" sheetId="150" r:id="rId34"/>
    <sheet name="2019-24 ESCTETableD8AnnMMBTU" sheetId="184" r:id="rId35"/>
    <sheet name="2019-24 ESCTETableD9LifMMBTU" sheetId="185" r:id="rId36"/>
    <sheet name="2021 ES CT PMI" sheetId="167" state="hidden" r:id="rId37"/>
    <sheet name="2022 ES CT PMI" sheetId="189" r:id="rId38"/>
    <sheet name="2023 ES CT PMI" sheetId="186" r:id="rId39"/>
    <sheet name="2024 ES CT PMI" sheetId="187" r:id="rId40"/>
    <sheet name="2023 ES CT PMI  Old" sheetId="182" state="hidden" r:id="rId41"/>
    <sheet name="2024 ES CT PMI Old" sheetId="183"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a">#REF!</definedName>
    <definedName name="actpm" localSheetId="36">#REF!</definedName>
    <definedName name="actpm" localSheetId="1">#REF!</definedName>
    <definedName name="actpm" localSheetId="37">#REF!</definedName>
    <definedName name="actpm" localSheetId="2">#REF!</definedName>
    <definedName name="actpm" localSheetId="38">#REF!</definedName>
    <definedName name="actpm" localSheetId="40">#REF!</definedName>
    <definedName name="actpm" localSheetId="4">#REF!</definedName>
    <definedName name="actpm" localSheetId="39">#REF!</definedName>
    <definedName name="actpm" localSheetId="41">#REF!</definedName>
    <definedName name="actpm" localSheetId="6">#REF!</definedName>
    <definedName name="actpm" localSheetId="12">#REF!</definedName>
    <definedName name="actpm" localSheetId="18">#REF!</definedName>
    <definedName name="actpm" localSheetId="13">#REF!</definedName>
    <definedName name="actpm" localSheetId="20">#REF!</definedName>
    <definedName name="actpm" localSheetId="21">#REF!</definedName>
    <definedName name="actpm" localSheetId="14">#REF!</definedName>
    <definedName name="actpm" localSheetId="15">#REF!</definedName>
    <definedName name="actpm" localSheetId="22">#REF!</definedName>
    <definedName name="actpm" localSheetId="23">#REF!</definedName>
    <definedName name="actpm" localSheetId="16">#REF!</definedName>
    <definedName name="actpm" localSheetId="19">#REF!</definedName>
    <definedName name="actpm" localSheetId="24">#REF!</definedName>
    <definedName name="actpm" localSheetId="25">#REF!</definedName>
    <definedName name="actpm" localSheetId="17">#REF!</definedName>
    <definedName name="actpm" localSheetId="11">#REF!</definedName>
    <definedName name="actpm">#REF!</definedName>
    <definedName name="add_funds_2004" localSheetId="36">'[1]CLP Table A  '!$H$11:$H$80</definedName>
    <definedName name="add_funds_2004" localSheetId="1">'ES CT Electric Table A  '!#REF!</definedName>
    <definedName name="add_funds_2004" localSheetId="37">'[1]CLP Table A  '!$H$11:$H$80</definedName>
    <definedName name="add_funds_2004" localSheetId="2">'ES CT Electric Table A  '!#REF!</definedName>
    <definedName name="add_funds_2004" localSheetId="38">'[1]CLP Table A  '!$H$11:$H$80</definedName>
    <definedName name="add_funds_2004" localSheetId="40">'[1]CLP Table A  '!$H$11:$H$80</definedName>
    <definedName name="add_funds_2004" localSheetId="4">'ES CT Electric Table A  '!#REF!</definedName>
    <definedName name="add_funds_2004" localSheetId="39">'[1]CLP Table A  '!$H$11:$H$80</definedName>
    <definedName name="add_funds_2004" localSheetId="41">'[1]CLP Table A  '!$H$11:$H$80</definedName>
    <definedName name="add_funds_2004" localSheetId="6">'ES CT Electric Table A  '!#REF!</definedName>
    <definedName name="add_funds_2004" localSheetId="12">'ES CT Electric Table A  '!#REF!</definedName>
    <definedName name="add_funds_2004" localSheetId="18">'ES CT Electric Table A  '!#REF!</definedName>
    <definedName name="add_funds_2004" localSheetId="13">'ES CT Electric Table A  '!#REF!</definedName>
    <definedName name="add_funds_2004" localSheetId="20">#REF!</definedName>
    <definedName name="add_funds_2004" localSheetId="21">'ES CT Electric Table A  '!#REF!</definedName>
    <definedName name="add_funds_2004" localSheetId="14">'ES CT Electric Table A  '!#REF!</definedName>
    <definedName name="add_funds_2004" localSheetId="15">'ES CT Electric Table A  '!#REF!</definedName>
    <definedName name="add_funds_2004" localSheetId="22">#REF!</definedName>
    <definedName name="add_funds_2004" localSheetId="23">'ES CT Electric Table A  '!#REF!</definedName>
    <definedName name="add_funds_2004" localSheetId="16">'ES CT Electric Table A  '!#REF!</definedName>
    <definedName name="add_funds_2004" localSheetId="19">'ES CT Electric Table A  '!#REF!</definedName>
    <definedName name="add_funds_2004" localSheetId="24">#REF!</definedName>
    <definedName name="add_funds_2004" localSheetId="25">'ES CT Electric Table A  '!#REF!</definedName>
    <definedName name="add_funds_2004" localSheetId="17">#REF!</definedName>
    <definedName name="add_funds_2004" localSheetId="11">'[2]CLM Programs'!#REF!</definedName>
    <definedName name="add_funds_2004">#REF!</definedName>
    <definedName name="Adjust_Col1" localSheetId="36">'[1]CLP Table A  '!$L$11:$L$79</definedName>
    <definedName name="Adjust_Col1" localSheetId="1">'ES CT Electric Table A  '!#REF!</definedName>
    <definedName name="Adjust_Col1" localSheetId="37">'[1]CLP Table A  '!$L$11:$L$79</definedName>
    <definedName name="Adjust_Col1" localSheetId="2">'ES CT Electric Table A  '!#REF!</definedName>
    <definedName name="Adjust_Col1" localSheetId="38">'[1]CLP Table A  '!$L$11:$L$79</definedName>
    <definedName name="Adjust_Col1" localSheetId="40">'[1]CLP Table A  '!$L$11:$L$79</definedName>
    <definedName name="Adjust_Col1" localSheetId="4">'ES CT Electric Table A  '!#REF!</definedName>
    <definedName name="Adjust_Col1" localSheetId="39">'[1]CLP Table A  '!$L$11:$L$79</definedName>
    <definedName name="Adjust_Col1" localSheetId="41">'[1]CLP Table A  '!$L$11:$L$79</definedName>
    <definedName name="Adjust_Col1" localSheetId="6">'ES CT Electric Table A  '!#REF!</definedName>
    <definedName name="Adjust_Col1" localSheetId="12">'ES CT Electric Table A  '!#REF!</definedName>
    <definedName name="Adjust_Col1" localSheetId="18">'ES CT Electric Table A  '!#REF!</definedName>
    <definedName name="Adjust_Col1" localSheetId="13">'ES CT Electric Table A  '!#REF!</definedName>
    <definedName name="Adjust_Col1" localSheetId="20">#REF!</definedName>
    <definedName name="Adjust_Col1" localSheetId="21">'ES CT Electric Table A  '!#REF!</definedName>
    <definedName name="Adjust_Col1" localSheetId="14">'ES CT Electric Table A  '!#REF!</definedName>
    <definedName name="Adjust_Col1" localSheetId="15">'ES CT Electric Table A  '!#REF!</definedName>
    <definedName name="Adjust_Col1" localSheetId="22">#REF!</definedName>
    <definedName name="Adjust_Col1" localSheetId="23">'ES CT Electric Table A  '!#REF!</definedName>
    <definedName name="Adjust_Col1" localSheetId="16">'ES CT Electric Table A  '!#REF!</definedName>
    <definedName name="Adjust_Col1" localSheetId="19">'ES CT Electric Table A  '!#REF!</definedName>
    <definedName name="Adjust_Col1" localSheetId="24">#REF!</definedName>
    <definedName name="Adjust_Col1" localSheetId="25">'ES CT Electric Table A  '!#REF!</definedName>
    <definedName name="Adjust_Col1" localSheetId="17">#REF!</definedName>
    <definedName name="Adjust_Col1" localSheetId="11">'[2]CLM Programs'!#REF!</definedName>
    <definedName name="Adjust_Col1">#REF!</definedName>
    <definedName name="alloc_add_funds2004" localSheetId="36">'[1]CLP Table A  '!$H$1:$H$65536</definedName>
    <definedName name="alloc_add_funds2004" localSheetId="1">'ES CT Electric Table A  '!#REF!</definedName>
    <definedName name="alloc_add_funds2004" localSheetId="37">'[1]CLP Table A  '!$H$1:$H$65536</definedName>
    <definedName name="alloc_add_funds2004" localSheetId="2">'ES CT Electric Table A  '!#REF!</definedName>
    <definedName name="alloc_add_funds2004" localSheetId="38">'[1]CLP Table A  '!$H$1:$H$65536</definedName>
    <definedName name="alloc_add_funds2004" localSheetId="40">'[1]CLP Table A  '!$H$1:$H$65536</definedName>
    <definedName name="alloc_add_funds2004" localSheetId="4">'ES CT Electric Table A  '!#REF!</definedName>
    <definedName name="alloc_add_funds2004" localSheetId="39">'[1]CLP Table A  '!$H$1:$H$65536</definedName>
    <definedName name="alloc_add_funds2004" localSheetId="41">'[1]CLP Table A  '!$H$1:$H$65536</definedName>
    <definedName name="alloc_add_funds2004" localSheetId="6">'ES CT Electric Table A  '!#REF!</definedName>
    <definedName name="alloc_add_funds2004" localSheetId="12">'ES CT Electric Table A  '!#REF!</definedName>
    <definedName name="alloc_add_funds2004" localSheetId="18">'ES CT Electric Table A  '!#REF!</definedName>
    <definedName name="alloc_add_funds2004" localSheetId="13">'ES CT Electric Table A  '!#REF!</definedName>
    <definedName name="alloc_add_funds2004" localSheetId="20">#REF!</definedName>
    <definedName name="alloc_add_funds2004" localSheetId="21">'ES CT Electric Table A  '!#REF!</definedName>
    <definedName name="alloc_add_funds2004" localSheetId="14">'ES CT Electric Table A  '!#REF!</definedName>
    <definedName name="alloc_add_funds2004" localSheetId="15">'ES CT Electric Table A  '!#REF!</definedName>
    <definedName name="alloc_add_funds2004" localSheetId="22">#REF!</definedName>
    <definedName name="alloc_add_funds2004" localSheetId="23">'ES CT Electric Table A  '!#REF!</definedName>
    <definedName name="alloc_add_funds2004" localSheetId="16">'ES CT Electric Table A  '!#REF!</definedName>
    <definedName name="alloc_add_funds2004" localSheetId="19">'ES CT Electric Table A  '!#REF!</definedName>
    <definedName name="alloc_add_funds2004" localSheetId="24">#REF!</definedName>
    <definedName name="alloc_add_funds2004" localSheetId="25">'ES CT Electric Table A  '!#REF!</definedName>
    <definedName name="alloc_add_funds2004" localSheetId="17">#REF!</definedName>
    <definedName name="alloc_add_funds2004" localSheetId="11">'[2]CLM Programs'!#REF!</definedName>
    <definedName name="alloc_add_funds2004">#REF!</definedName>
    <definedName name="ARACT" localSheetId="27">'[3]Attachment EL-17-1 Page 2 of 2'!#REF!</definedName>
    <definedName name="ARACT" localSheetId="29">'[3]Attachment EL-17-1 Page 2 of 2'!#REF!</definedName>
    <definedName name="ARACT" localSheetId="30">'[3]Attachment EL-17-1 Page 2 of 2'!#REF!</definedName>
    <definedName name="ARACT" localSheetId="36">'[3]Attachment EL-17-1 Page 2 of 2'!#REF!</definedName>
    <definedName name="ARACT" localSheetId="1">'[3]Attachment EL-17-1 Page 2 of 2'!#REF!</definedName>
    <definedName name="ARACT" localSheetId="37">'[3]Attachment EL-17-1 Page 2 of 2'!#REF!</definedName>
    <definedName name="ARACT" localSheetId="2">'[3]Attachment EL-17-1 Page 2 of 2'!#REF!</definedName>
    <definedName name="ARACT" localSheetId="38">'[3]Attachment EL-17-1 Page 2 of 2'!#REF!</definedName>
    <definedName name="ARACT" localSheetId="40">'[3]Attachment EL-17-1 Page 2 of 2'!#REF!</definedName>
    <definedName name="ARACT" localSheetId="4">'[3]Attachment EL-17-1 Page 2 of 2'!#REF!</definedName>
    <definedName name="ARACT" localSheetId="39">'[3]Attachment EL-17-1 Page 2 of 2'!#REF!</definedName>
    <definedName name="ARACT" localSheetId="41">'[3]Attachment EL-17-1 Page 2 of 2'!#REF!</definedName>
    <definedName name="ARACT" localSheetId="6">'[3]Attachment EL-17-1 Page 2 of 2'!#REF!</definedName>
    <definedName name="ARACT" localSheetId="12">'[3]Attachment EL-17-1 Page 2 of 2'!#REF!</definedName>
    <definedName name="ARACT" localSheetId="18">'[3]Attachment EL-17-1 Page 2 of 2'!#REF!</definedName>
    <definedName name="ARACT" localSheetId="13">'[3]Attachment EL-17-1 Page 2 of 2'!#REF!</definedName>
    <definedName name="ARACT" localSheetId="20">'[3]Attachment EL-17-1 Page 2 of 2'!#REF!</definedName>
    <definedName name="ARACT" localSheetId="21">'[3]Attachment EL-17-1 Page 2 of 2'!#REF!</definedName>
    <definedName name="ARACT" localSheetId="14">'[3]Attachment EL-17-1 Page 2 of 2'!#REF!</definedName>
    <definedName name="ARACT" localSheetId="15">'[3]Attachment EL-17-1 Page 2 of 2'!#REF!</definedName>
    <definedName name="ARACT" localSheetId="22">'[3]Attachment EL-17-1 Page 2 of 2'!#REF!</definedName>
    <definedName name="ARACT" localSheetId="23">'[3]Attachment EL-17-1 Page 2 of 2'!#REF!</definedName>
    <definedName name="ARACT" localSheetId="16">'[3]Attachment EL-17-1 Page 2 of 2'!#REF!</definedName>
    <definedName name="ARACT" localSheetId="19">'[3]Attachment EL-17-1 Page 2 of 2'!#REF!</definedName>
    <definedName name="ARACT" localSheetId="24">'[3]Attachment EL-17-1 Page 2 of 2'!#REF!</definedName>
    <definedName name="ARACT" localSheetId="25">'[3]Attachment EL-17-1 Page 2 of 2'!#REF!</definedName>
    <definedName name="ARACT" localSheetId="17">'[3]Attachment EL-17-1 Page 2 of 2'!#REF!</definedName>
    <definedName name="ARACT" localSheetId="11">'[3]Attachment EL-17-1 Page 2 of 2'!#REF!</definedName>
    <definedName name="ARACT">'[3]Attachment EL-17-1 Page 2 of 2'!#REF!</definedName>
    <definedName name="arbud" localSheetId="27">'[3]Attachment EL-17-1 Page 2 of 2'!#REF!</definedName>
    <definedName name="arbud" localSheetId="29">'[3]Attachment EL-17-1 Page 2 of 2'!#REF!</definedName>
    <definedName name="arbud" localSheetId="30">'[3]Attachment EL-17-1 Page 2 of 2'!#REF!</definedName>
    <definedName name="arbud" localSheetId="36">'[3]Attachment EL-17-1 Page 2 of 2'!#REF!</definedName>
    <definedName name="arbud" localSheetId="1">'[3]Attachment EL-17-1 Page 2 of 2'!#REF!</definedName>
    <definedName name="arbud" localSheetId="37">'[3]Attachment EL-17-1 Page 2 of 2'!#REF!</definedName>
    <definedName name="arbud" localSheetId="2">'[3]Attachment EL-17-1 Page 2 of 2'!#REF!</definedName>
    <definedName name="arbud" localSheetId="38">'[3]Attachment EL-17-1 Page 2 of 2'!#REF!</definedName>
    <definedName name="arbud" localSheetId="40">'[3]Attachment EL-17-1 Page 2 of 2'!#REF!</definedName>
    <definedName name="arbud" localSheetId="4">'[3]Attachment EL-17-1 Page 2 of 2'!#REF!</definedName>
    <definedName name="arbud" localSheetId="39">'[3]Attachment EL-17-1 Page 2 of 2'!#REF!</definedName>
    <definedName name="arbud" localSheetId="41">'[3]Attachment EL-17-1 Page 2 of 2'!#REF!</definedName>
    <definedName name="arbud" localSheetId="6">'[3]Attachment EL-17-1 Page 2 of 2'!#REF!</definedName>
    <definedName name="arbud" localSheetId="12">'[3]Attachment EL-17-1 Page 2 of 2'!#REF!</definedName>
    <definedName name="arbud" localSheetId="18">'[3]Attachment EL-17-1 Page 2 of 2'!#REF!</definedName>
    <definedName name="arbud" localSheetId="13">'[3]Attachment EL-17-1 Page 2 of 2'!#REF!</definedName>
    <definedName name="arbud" localSheetId="20">'[3]Attachment EL-17-1 Page 2 of 2'!#REF!</definedName>
    <definedName name="arbud" localSheetId="21">'[3]Attachment EL-17-1 Page 2 of 2'!#REF!</definedName>
    <definedName name="arbud" localSheetId="14">'[3]Attachment EL-17-1 Page 2 of 2'!#REF!</definedName>
    <definedName name="arbud" localSheetId="15">'[3]Attachment EL-17-1 Page 2 of 2'!#REF!</definedName>
    <definedName name="arbud" localSheetId="22">'[3]Attachment EL-17-1 Page 2 of 2'!#REF!</definedName>
    <definedName name="arbud" localSheetId="23">'[3]Attachment EL-17-1 Page 2 of 2'!#REF!</definedName>
    <definedName name="arbud" localSheetId="16">'[3]Attachment EL-17-1 Page 2 of 2'!#REF!</definedName>
    <definedName name="arbud" localSheetId="19">'[3]Attachment EL-17-1 Page 2 of 2'!#REF!</definedName>
    <definedName name="arbud" localSheetId="24">'[3]Attachment EL-17-1 Page 2 of 2'!#REF!</definedName>
    <definedName name="arbud" localSheetId="25">'[3]Attachment EL-17-1 Page 2 of 2'!#REF!</definedName>
    <definedName name="arbud" localSheetId="17">'[3]Attachment EL-17-1 Page 2 of 2'!#REF!</definedName>
    <definedName name="arbud" localSheetId="11">'[3]Attachment EL-17-1 Page 2 of 2'!#REF!</definedName>
    <definedName name="arbud">'[3]Attachment EL-17-1 Page 2 of 2'!#REF!</definedName>
    <definedName name="arfor" localSheetId="27">'[3]Attachment EL-17-1 Page 2 of 2'!#REF!</definedName>
    <definedName name="arfor" localSheetId="29">'[3]Attachment EL-17-1 Page 2 of 2'!#REF!</definedName>
    <definedName name="arfor" localSheetId="30">'[3]Attachment EL-17-1 Page 2 of 2'!#REF!</definedName>
    <definedName name="arfor" localSheetId="36">'[3]Attachment EL-17-1 Page 2 of 2'!#REF!</definedName>
    <definedName name="arfor" localSheetId="1">'[3]Attachment EL-17-1 Page 2 of 2'!#REF!</definedName>
    <definedName name="arfor" localSheetId="37">'[3]Attachment EL-17-1 Page 2 of 2'!#REF!</definedName>
    <definedName name="arfor" localSheetId="2">'[3]Attachment EL-17-1 Page 2 of 2'!#REF!</definedName>
    <definedName name="arfor" localSheetId="38">'[3]Attachment EL-17-1 Page 2 of 2'!#REF!</definedName>
    <definedName name="arfor" localSheetId="40">'[3]Attachment EL-17-1 Page 2 of 2'!#REF!</definedName>
    <definedName name="arfor" localSheetId="4">'[3]Attachment EL-17-1 Page 2 of 2'!#REF!</definedName>
    <definedName name="arfor" localSheetId="39">'[3]Attachment EL-17-1 Page 2 of 2'!#REF!</definedName>
    <definedName name="arfor" localSheetId="41">'[3]Attachment EL-17-1 Page 2 of 2'!#REF!</definedName>
    <definedName name="arfor" localSheetId="6">'[3]Attachment EL-17-1 Page 2 of 2'!#REF!</definedName>
    <definedName name="arfor" localSheetId="12">'[3]Attachment EL-17-1 Page 2 of 2'!#REF!</definedName>
    <definedName name="arfor" localSheetId="18">'[3]Attachment EL-17-1 Page 2 of 2'!#REF!</definedName>
    <definedName name="arfor" localSheetId="13">'[3]Attachment EL-17-1 Page 2 of 2'!#REF!</definedName>
    <definedName name="arfor" localSheetId="20">'[3]Attachment EL-17-1 Page 2 of 2'!#REF!</definedName>
    <definedName name="arfor" localSheetId="21">'[3]Attachment EL-17-1 Page 2 of 2'!#REF!</definedName>
    <definedName name="arfor" localSheetId="14">'[3]Attachment EL-17-1 Page 2 of 2'!#REF!</definedName>
    <definedName name="arfor" localSheetId="15">'[3]Attachment EL-17-1 Page 2 of 2'!#REF!</definedName>
    <definedName name="arfor" localSheetId="22">'[3]Attachment EL-17-1 Page 2 of 2'!#REF!</definedName>
    <definedName name="arfor" localSheetId="23">'[3]Attachment EL-17-1 Page 2 of 2'!#REF!</definedName>
    <definedName name="arfor" localSheetId="16">'[3]Attachment EL-17-1 Page 2 of 2'!#REF!</definedName>
    <definedName name="arfor" localSheetId="19">'[3]Attachment EL-17-1 Page 2 of 2'!#REF!</definedName>
    <definedName name="arfor" localSheetId="24">'[3]Attachment EL-17-1 Page 2 of 2'!#REF!</definedName>
    <definedName name="arfor" localSheetId="25">'[3]Attachment EL-17-1 Page 2 of 2'!#REF!</definedName>
    <definedName name="arfor" localSheetId="17">'[3]Attachment EL-17-1 Page 2 of 2'!#REF!</definedName>
    <definedName name="arfor" localSheetId="11">'[3]Attachment EL-17-1 Page 2 of 2'!#REF!</definedName>
    <definedName name="arfor">'[3]Attachment EL-17-1 Page 2 of 2'!#REF!</definedName>
    <definedName name="ATSOACT" localSheetId="27">'[3]Attachment EL-17-1 Page 2 of 2'!#REF!</definedName>
    <definedName name="ATSOACT" localSheetId="29">'[3]Attachment EL-17-1 Page 2 of 2'!#REF!</definedName>
    <definedName name="ATSOACT" localSheetId="30">'[3]Attachment EL-17-1 Page 2 of 2'!#REF!</definedName>
    <definedName name="ATSOACT" localSheetId="36">'[3]Attachment EL-17-1 Page 2 of 2'!#REF!</definedName>
    <definedName name="ATSOACT" localSheetId="1">'[3]Attachment EL-17-1 Page 2 of 2'!#REF!</definedName>
    <definedName name="ATSOACT" localSheetId="37">'[3]Attachment EL-17-1 Page 2 of 2'!#REF!</definedName>
    <definedName name="ATSOACT" localSheetId="2">'[3]Attachment EL-17-1 Page 2 of 2'!#REF!</definedName>
    <definedName name="ATSOACT" localSheetId="38">'[3]Attachment EL-17-1 Page 2 of 2'!#REF!</definedName>
    <definedName name="ATSOACT" localSheetId="40">'[3]Attachment EL-17-1 Page 2 of 2'!#REF!</definedName>
    <definedName name="ATSOACT" localSheetId="4">'[3]Attachment EL-17-1 Page 2 of 2'!#REF!</definedName>
    <definedName name="ATSOACT" localSheetId="39">'[3]Attachment EL-17-1 Page 2 of 2'!#REF!</definedName>
    <definedName name="ATSOACT" localSheetId="41">'[3]Attachment EL-17-1 Page 2 of 2'!#REF!</definedName>
    <definedName name="ATSOACT" localSheetId="6">'[3]Attachment EL-17-1 Page 2 of 2'!#REF!</definedName>
    <definedName name="ATSOACT" localSheetId="12">'[3]Attachment EL-17-1 Page 2 of 2'!#REF!</definedName>
    <definedName name="ATSOACT" localSheetId="18">'[3]Attachment EL-17-1 Page 2 of 2'!#REF!</definedName>
    <definedName name="ATSOACT" localSheetId="13">'[3]Attachment EL-17-1 Page 2 of 2'!#REF!</definedName>
    <definedName name="ATSOACT" localSheetId="20">'[3]Attachment EL-17-1 Page 2 of 2'!#REF!</definedName>
    <definedName name="ATSOACT" localSheetId="21">'[3]Attachment EL-17-1 Page 2 of 2'!#REF!</definedName>
    <definedName name="ATSOACT" localSheetId="14">'[3]Attachment EL-17-1 Page 2 of 2'!#REF!</definedName>
    <definedName name="ATSOACT" localSheetId="15">'[3]Attachment EL-17-1 Page 2 of 2'!#REF!</definedName>
    <definedName name="ATSOACT" localSheetId="22">'[3]Attachment EL-17-1 Page 2 of 2'!#REF!</definedName>
    <definedName name="ATSOACT" localSheetId="23">'[3]Attachment EL-17-1 Page 2 of 2'!#REF!</definedName>
    <definedName name="ATSOACT" localSheetId="16">'[3]Attachment EL-17-1 Page 2 of 2'!#REF!</definedName>
    <definedName name="ATSOACT" localSheetId="19">'[3]Attachment EL-17-1 Page 2 of 2'!#REF!</definedName>
    <definedName name="ATSOACT" localSheetId="24">'[3]Attachment EL-17-1 Page 2 of 2'!#REF!</definedName>
    <definedName name="ATSOACT" localSheetId="25">'[3]Attachment EL-17-1 Page 2 of 2'!#REF!</definedName>
    <definedName name="ATSOACT" localSheetId="17">'[3]Attachment EL-17-1 Page 2 of 2'!#REF!</definedName>
    <definedName name="ATSOACT" localSheetId="11">'[3]Attachment EL-17-1 Page 2 of 2'!#REF!</definedName>
    <definedName name="ATSOACT">'[3]Attachment EL-17-1 Page 2 of 2'!#REF!</definedName>
    <definedName name="b">#REF!</definedName>
    <definedName name="bill_insert" localSheetId="36">#REF!</definedName>
    <definedName name="bill_insert" localSheetId="1">#REF!</definedName>
    <definedName name="bill_insert" localSheetId="37">#REF!</definedName>
    <definedName name="bill_insert" localSheetId="2">#REF!</definedName>
    <definedName name="bill_insert" localSheetId="38">#REF!</definedName>
    <definedName name="bill_insert" localSheetId="40">#REF!</definedName>
    <definedName name="bill_insert" localSheetId="4">#REF!</definedName>
    <definedName name="bill_insert" localSheetId="39">#REF!</definedName>
    <definedName name="bill_insert" localSheetId="41">#REF!</definedName>
    <definedName name="bill_insert" localSheetId="6">#REF!</definedName>
    <definedName name="bill_insert" localSheetId="12">#REF!</definedName>
    <definedName name="bill_insert" localSheetId="18">#REF!</definedName>
    <definedName name="bill_insert" localSheetId="13">#REF!</definedName>
    <definedName name="bill_insert" localSheetId="20">#REF!</definedName>
    <definedName name="bill_insert" localSheetId="21">#REF!</definedName>
    <definedName name="bill_insert" localSheetId="14">#REF!</definedName>
    <definedName name="bill_insert" localSheetId="15">#REF!</definedName>
    <definedName name="bill_insert" localSheetId="22">#REF!</definedName>
    <definedName name="bill_insert" localSheetId="23">#REF!</definedName>
    <definedName name="bill_insert" localSheetId="16">#REF!</definedName>
    <definedName name="bill_insert" localSheetId="19">#REF!</definedName>
    <definedName name="bill_insert" localSheetId="24">#REF!</definedName>
    <definedName name="bill_insert" localSheetId="25">#REF!</definedName>
    <definedName name="bill_insert" localSheetId="10">'[4]2005 CLP Table D - Marketing'!$D$7:$D$54</definedName>
    <definedName name="bill_insert" localSheetId="17">#REF!</definedName>
    <definedName name="bill_insert" localSheetId="11">#REF!</definedName>
    <definedName name="bill_insert">#REF!</definedName>
    <definedName name="budcc" localSheetId="36">#REF!</definedName>
    <definedName name="budcc" localSheetId="1">#REF!</definedName>
    <definedName name="budcc" localSheetId="37">#REF!</definedName>
    <definedName name="budcc" localSheetId="2">#REF!</definedName>
    <definedName name="budcc" localSheetId="38">#REF!</definedName>
    <definedName name="budcc" localSheetId="40">#REF!</definedName>
    <definedName name="budcc" localSheetId="4">#REF!</definedName>
    <definedName name="budcc" localSheetId="39">#REF!</definedName>
    <definedName name="budcc" localSheetId="41">#REF!</definedName>
    <definedName name="budcc" localSheetId="6">#REF!</definedName>
    <definedName name="budcc" localSheetId="12">#REF!</definedName>
    <definedName name="budcc" localSheetId="18">#REF!</definedName>
    <definedName name="budcc" localSheetId="13">#REF!</definedName>
    <definedName name="budcc" localSheetId="20">#REF!</definedName>
    <definedName name="budcc" localSheetId="21">#REF!</definedName>
    <definedName name="budcc" localSheetId="14">#REF!</definedName>
    <definedName name="budcc" localSheetId="15">#REF!</definedName>
    <definedName name="budcc" localSheetId="22">#REF!</definedName>
    <definedName name="budcc" localSheetId="23">#REF!</definedName>
    <definedName name="budcc" localSheetId="16">#REF!</definedName>
    <definedName name="budcc" localSheetId="19">#REF!</definedName>
    <definedName name="budcc" localSheetId="24">#REF!</definedName>
    <definedName name="budcc" localSheetId="25">#REF!</definedName>
    <definedName name="budcc" localSheetId="17">#REF!</definedName>
    <definedName name="budcc" localSheetId="11">#REF!</definedName>
    <definedName name="budcc">#REF!</definedName>
    <definedName name="Budget_3_8_05" localSheetId="36">'[1]CLP Table A  '!$N$1:$N$65536</definedName>
    <definedName name="Budget_3_8_05" localSheetId="1">'ES CT Electric Table A  '!#REF!</definedName>
    <definedName name="Budget_3_8_05" localSheetId="37">'[1]CLP Table A  '!$N$1:$N$65536</definedName>
    <definedName name="Budget_3_8_05" localSheetId="2">'ES CT Electric Table A  '!#REF!</definedName>
    <definedName name="Budget_3_8_05" localSheetId="38">'[1]CLP Table A  '!$N$1:$N$65536</definedName>
    <definedName name="Budget_3_8_05" localSheetId="40">'[1]CLP Table A  '!$N$1:$N$65536</definedName>
    <definedName name="Budget_3_8_05" localSheetId="4">'ES CT Electric Table A  '!#REF!</definedName>
    <definedName name="Budget_3_8_05" localSheetId="39">'[1]CLP Table A  '!$N$1:$N$65536</definedName>
    <definedName name="Budget_3_8_05" localSheetId="41">'[1]CLP Table A  '!$N$1:$N$65536</definedName>
    <definedName name="Budget_3_8_05" localSheetId="6">'ES CT Electric Table A  '!#REF!</definedName>
    <definedName name="Budget_3_8_05" localSheetId="12">'ES CT Electric Table A  '!#REF!</definedName>
    <definedName name="Budget_3_8_05" localSheetId="18">'ES CT Electric Table A  '!#REF!</definedName>
    <definedName name="Budget_3_8_05" localSheetId="13">'ES CT Electric Table A  '!#REF!</definedName>
    <definedName name="Budget_3_8_05" localSheetId="20">#REF!</definedName>
    <definedName name="Budget_3_8_05" localSheetId="21">'ES CT Electric Table A  '!#REF!</definedName>
    <definedName name="Budget_3_8_05" localSheetId="14">'ES CT Electric Table A  '!#REF!</definedName>
    <definedName name="Budget_3_8_05" localSheetId="15">'ES CT Electric Table A  '!#REF!</definedName>
    <definedName name="Budget_3_8_05" localSheetId="22">#REF!</definedName>
    <definedName name="Budget_3_8_05" localSheetId="23">'ES CT Electric Table A  '!#REF!</definedName>
    <definedName name="Budget_3_8_05" localSheetId="16">'ES CT Electric Table A  '!#REF!</definedName>
    <definedName name="Budget_3_8_05" localSheetId="19">'ES CT Electric Table A  '!#REF!</definedName>
    <definedName name="Budget_3_8_05" localSheetId="24">#REF!</definedName>
    <definedName name="Budget_3_8_05" localSheetId="25">'ES CT Electric Table A  '!#REF!</definedName>
    <definedName name="Budget_3_8_05" localSheetId="17">#REF!</definedName>
    <definedName name="Budget_3_8_05" localSheetId="11">'[2]CLM Programs'!#REF!</definedName>
    <definedName name="Budget_3_8_05">#REF!</definedName>
    <definedName name="budpm" localSheetId="36">#REF!</definedName>
    <definedName name="budpm" localSheetId="1">#REF!</definedName>
    <definedName name="budpm" localSheetId="37">#REF!</definedName>
    <definedName name="budpm" localSheetId="2">#REF!</definedName>
    <definedName name="budpm" localSheetId="38">#REF!</definedName>
    <definedName name="budpm" localSheetId="40">#REF!</definedName>
    <definedName name="budpm" localSheetId="4">#REF!</definedName>
    <definedName name="budpm" localSheetId="39">#REF!</definedName>
    <definedName name="budpm" localSheetId="41">#REF!</definedName>
    <definedName name="budpm" localSheetId="6">#REF!</definedName>
    <definedName name="budpm" localSheetId="12">#REF!</definedName>
    <definedName name="budpm" localSheetId="18">#REF!</definedName>
    <definedName name="budpm" localSheetId="13">#REF!</definedName>
    <definedName name="budpm" localSheetId="20">#REF!</definedName>
    <definedName name="budpm" localSheetId="21">#REF!</definedName>
    <definedName name="budpm" localSheetId="14">#REF!</definedName>
    <definedName name="budpm" localSheetId="15">#REF!</definedName>
    <definedName name="budpm" localSheetId="22">#REF!</definedName>
    <definedName name="budpm" localSheetId="23">#REF!</definedName>
    <definedName name="budpm" localSheetId="16">#REF!</definedName>
    <definedName name="budpm" localSheetId="19">#REF!</definedName>
    <definedName name="budpm" localSheetId="24">#REF!</definedName>
    <definedName name="budpm" localSheetId="25">#REF!</definedName>
    <definedName name="budpm" localSheetId="17">#REF!</definedName>
    <definedName name="budpm" localSheetId="11">#REF!</definedName>
    <definedName name="budpm">#REF!</definedName>
    <definedName name="C_I_Dollars_per_kW" localSheetId="36">'[5]EB $'!#REF!</definedName>
    <definedName name="C_I_Dollars_per_kW" localSheetId="1">'[5]EB $'!#REF!</definedName>
    <definedName name="C_I_Dollars_per_kW" localSheetId="37">'[5]EB $'!#REF!</definedName>
    <definedName name="C_I_Dollars_per_kW" localSheetId="2">'[5]EB $'!#REF!</definedName>
    <definedName name="C_I_Dollars_per_kW" localSheetId="38">'[5]EB $'!#REF!</definedName>
    <definedName name="C_I_Dollars_per_kW" localSheetId="40">'[5]EB $'!#REF!</definedName>
    <definedName name="C_I_Dollars_per_kW" localSheetId="4">'[5]EB $'!#REF!</definedName>
    <definedName name="C_I_Dollars_per_kW" localSheetId="39">'[5]EB $'!#REF!</definedName>
    <definedName name="C_I_Dollars_per_kW" localSheetId="41">'[5]EB $'!#REF!</definedName>
    <definedName name="C_I_Dollars_per_kW" localSheetId="6">'[5]EB $'!#REF!</definedName>
    <definedName name="C_I_Dollars_per_kW" localSheetId="12">'[5]EB $'!#REF!</definedName>
    <definedName name="C_I_Dollars_per_kW" localSheetId="18">'[5]EB $'!#REF!</definedName>
    <definedName name="C_I_Dollars_per_kW" localSheetId="13">'[5]EB $'!#REF!</definedName>
    <definedName name="C_I_Dollars_per_kW" localSheetId="20">'[5]EB $'!#REF!</definedName>
    <definedName name="C_I_Dollars_per_kW" localSheetId="21">'[5]EB $'!#REF!</definedName>
    <definedName name="C_I_Dollars_per_kW" localSheetId="14">'[5]EB $'!#REF!</definedName>
    <definedName name="C_I_Dollars_per_kW" localSheetId="15">'[5]EB $'!#REF!</definedName>
    <definedName name="C_I_Dollars_per_kW" localSheetId="22">'[5]EB $'!#REF!</definedName>
    <definedName name="C_I_Dollars_per_kW" localSheetId="23">'[5]EB $'!#REF!</definedName>
    <definedName name="C_I_Dollars_per_kW" localSheetId="16">'[5]EB $'!#REF!</definedName>
    <definedName name="C_I_Dollars_per_kW" localSheetId="19">'[5]EB $'!#REF!</definedName>
    <definedName name="C_I_Dollars_per_kW" localSheetId="24">'[5]EB $'!#REF!</definedName>
    <definedName name="C_I_Dollars_per_kW" localSheetId="25">'[5]EB $'!#REF!</definedName>
    <definedName name="C_I_Dollars_per_kW" localSheetId="17">'[5]EB $'!#REF!</definedName>
    <definedName name="C_I_Dollars_per_kW">'[5]EB $'!#REF!</definedName>
    <definedName name="C_I_Dollars_per_kWh" localSheetId="36">'[5]EB $'!#REF!</definedName>
    <definedName name="C_I_Dollars_per_kWh" localSheetId="1">'[5]EB $'!#REF!</definedName>
    <definedName name="C_I_Dollars_per_kWh" localSheetId="37">'[5]EB $'!#REF!</definedName>
    <definedName name="C_I_Dollars_per_kWh" localSheetId="2">'[5]EB $'!#REF!</definedName>
    <definedName name="C_I_Dollars_per_kWh" localSheetId="38">'[5]EB $'!#REF!</definedName>
    <definedName name="C_I_Dollars_per_kWh" localSheetId="40">'[5]EB $'!#REF!</definedName>
    <definedName name="C_I_Dollars_per_kWh" localSheetId="4">'[5]EB $'!#REF!</definedName>
    <definedName name="C_I_Dollars_per_kWh" localSheetId="39">'[5]EB $'!#REF!</definedName>
    <definedName name="C_I_Dollars_per_kWh" localSheetId="41">'[5]EB $'!#REF!</definedName>
    <definedName name="C_I_Dollars_per_kWh" localSheetId="6">'[5]EB $'!#REF!</definedName>
    <definedName name="C_I_Dollars_per_kWh" localSheetId="12">'[5]EB $'!#REF!</definedName>
    <definedName name="C_I_Dollars_per_kWh" localSheetId="18">'[5]EB $'!#REF!</definedName>
    <definedName name="C_I_Dollars_per_kWh" localSheetId="13">'[5]EB $'!#REF!</definedName>
    <definedName name="C_I_Dollars_per_kWh" localSheetId="20">'[5]EB $'!#REF!</definedName>
    <definedName name="C_I_Dollars_per_kWh" localSheetId="21">'[5]EB $'!#REF!</definedName>
    <definedName name="C_I_Dollars_per_kWh" localSheetId="14">'[5]EB $'!#REF!</definedName>
    <definedName name="C_I_Dollars_per_kWh" localSheetId="15">'[5]EB $'!#REF!</definedName>
    <definedName name="C_I_Dollars_per_kWh" localSheetId="22">'[5]EB $'!#REF!</definedName>
    <definedName name="C_I_Dollars_per_kWh" localSheetId="23">'[5]EB $'!#REF!</definedName>
    <definedName name="C_I_Dollars_per_kWh" localSheetId="16">'[5]EB $'!#REF!</definedName>
    <definedName name="C_I_Dollars_per_kWh" localSheetId="19">'[5]EB $'!#REF!</definedName>
    <definedName name="C_I_Dollars_per_kWh" localSheetId="24">'[5]EB $'!#REF!</definedName>
    <definedName name="C_I_Dollars_per_kWh" localSheetId="25">'[5]EB $'!#REF!</definedName>
    <definedName name="C_I_Dollars_per_kWh" localSheetId="17">'[5]EB $'!#REF!</definedName>
    <definedName name="C_I_Dollars_per_kWh">'[5]EB $'!#REF!</definedName>
    <definedName name="ccact" localSheetId="27">#REF!</definedName>
    <definedName name="ccact" localSheetId="29">#REF!</definedName>
    <definedName name="ccact" localSheetId="30">#REF!</definedName>
    <definedName name="ccact" localSheetId="36">#REF!</definedName>
    <definedName name="ccact" localSheetId="1">#REF!</definedName>
    <definedName name="ccact" localSheetId="37">#REF!</definedName>
    <definedName name="ccact" localSheetId="2">#REF!</definedName>
    <definedName name="ccact" localSheetId="38">#REF!</definedName>
    <definedName name="ccact" localSheetId="40">#REF!</definedName>
    <definedName name="ccact" localSheetId="4">#REF!</definedName>
    <definedName name="ccact" localSheetId="39">#REF!</definedName>
    <definedName name="ccact" localSheetId="41">#REF!</definedName>
    <definedName name="ccact" localSheetId="6">#REF!</definedName>
    <definedName name="ccact" localSheetId="12">#REF!</definedName>
    <definedName name="ccact" localSheetId="18">#REF!</definedName>
    <definedName name="ccact" localSheetId="13">#REF!</definedName>
    <definedName name="ccact" localSheetId="20">#REF!</definedName>
    <definedName name="ccact" localSheetId="21">#REF!</definedName>
    <definedName name="ccact" localSheetId="14">#REF!</definedName>
    <definedName name="ccact" localSheetId="15">#REF!</definedName>
    <definedName name="ccact" localSheetId="22">#REF!</definedName>
    <definedName name="ccact" localSheetId="23">#REF!</definedName>
    <definedName name="ccact" localSheetId="16">#REF!</definedName>
    <definedName name="ccact" localSheetId="19">#REF!</definedName>
    <definedName name="ccact" localSheetId="24">#REF!</definedName>
    <definedName name="ccact" localSheetId="25">#REF!</definedName>
    <definedName name="ccact" localSheetId="17">#REF!</definedName>
    <definedName name="ccact" localSheetId="11">#REF!</definedName>
    <definedName name="ccact">#REF!</definedName>
    <definedName name="ccbud" localSheetId="27">#REF!</definedName>
    <definedName name="ccbud" localSheetId="29">#REF!</definedName>
    <definedName name="ccbud" localSheetId="30">#REF!</definedName>
    <definedName name="ccbud" localSheetId="36">#REF!</definedName>
    <definedName name="ccbud" localSheetId="1">#REF!</definedName>
    <definedName name="ccbud" localSheetId="37">#REF!</definedName>
    <definedName name="ccbud" localSheetId="2">#REF!</definedName>
    <definedName name="ccbud" localSheetId="38">#REF!</definedName>
    <definedName name="ccbud" localSheetId="40">#REF!</definedName>
    <definedName name="ccbud" localSheetId="4">#REF!</definedName>
    <definedName name="ccbud" localSheetId="39">#REF!</definedName>
    <definedName name="ccbud" localSheetId="41">#REF!</definedName>
    <definedName name="ccbud" localSheetId="6">#REF!</definedName>
    <definedName name="ccbud" localSheetId="12">#REF!</definedName>
    <definedName name="ccbud" localSheetId="18">#REF!</definedName>
    <definedName name="ccbud" localSheetId="13">#REF!</definedName>
    <definedName name="ccbud" localSheetId="20">#REF!</definedName>
    <definedName name="ccbud" localSheetId="21">#REF!</definedName>
    <definedName name="ccbud" localSheetId="14">#REF!</definedName>
    <definedName name="ccbud" localSheetId="15">#REF!</definedName>
    <definedName name="ccbud" localSheetId="22">#REF!</definedName>
    <definedName name="ccbud" localSheetId="23">#REF!</definedName>
    <definedName name="ccbud" localSheetId="16">#REF!</definedName>
    <definedName name="ccbud" localSheetId="19">#REF!</definedName>
    <definedName name="ccbud" localSheetId="24">#REF!</definedName>
    <definedName name="ccbud" localSheetId="25">#REF!</definedName>
    <definedName name="ccbud" localSheetId="17">#REF!</definedName>
    <definedName name="ccbud" localSheetId="11">#REF!</definedName>
    <definedName name="ccbud">#REF!</definedName>
    <definedName name="ccfor" localSheetId="27">#REF!</definedName>
    <definedName name="ccfor" localSheetId="29">#REF!</definedName>
    <definedName name="ccfor" localSheetId="30">#REF!</definedName>
    <definedName name="ccfor" localSheetId="36">#REF!</definedName>
    <definedName name="ccfor" localSheetId="1">#REF!</definedName>
    <definedName name="ccfor" localSheetId="37">#REF!</definedName>
    <definedName name="ccfor" localSheetId="2">#REF!</definedName>
    <definedName name="ccfor" localSheetId="38">#REF!</definedName>
    <definedName name="ccfor" localSheetId="40">#REF!</definedName>
    <definedName name="ccfor" localSheetId="4">#REF!</definedName>
    <definedName name="ccfor" localSheetId="39">#REF!</definedName>
    <definedName name="ccfor" localSheetId="41">#REF!</definedName>
    <definedName name="ccfor" localSheetId="6">#REF!</definedName>
    <definedName name="ccfor" localSheetId="12">#REF!</definedName>
    <definedName name="ccfor" localSheetId="18">#REF!</definedName>
    <definedName name="ccfor" localSheetId="13">#REF!</definedName>
    <definedName name="ccfor" localSheetId="20">#REF!</definedName>
    <definedName name="ccfor" localSheetId="21">#REF!</definedName>
    <definedName name="ccfor" localSheetId="14">#REF!</definedName>
    <definedName name="ccfor" localSheetId="15">#REF!</definedName>
    <definedName name="ccfor" localSheetId="22">#REF!</definedName>
    <definedName name="ccfor" localSheetId="23">#REF!</definedName>
    <definedName name="ccfor" localSheetId="16">#REF!</definedName>
    <definedName name="ccfor" localSheetId="19">#REF!</definedName>
    <definedName name="ccfor" localSheetId="24">#REF!</definedName>
    <definedName name="ccfor" localSheetId="25">#REF!</definedName>
    <definedName name="ccfor" localSheetId="17">#REF!</definedName>
    <definedName name="ccfor" localSheetId="11">#REF!</definedName>
    <definedName name="ccfor">#REF!</definedName>
    <definedName name="ccytd" localSheetId="27">#REF!</definedName>
    <definedName name="ccytd" localSheetId="29">#REF!</definedName>
    <definedName name="ccytd" localSheetId="30">#REF!</definedName>
    <definedName name="ccytd" localSheetId="36">#REF!</definedName>
    <definedName name="ccytd" localSheetId="1">#REF!</definedName>
    <definedName name="ccytd" localSheetId="37">#REF!</definedName>
    <definedName name="ccytd" localSheetId="2">#REF!</definedName>
    <definedName name="ccytd" localSheetId="38">#REF!</definedName>
    <definedName name="ccytd" localSheetId="40">#REF!</definedName>
    <definedName name="ccytd" localSheetId="4">#REF!</definedName>
    <definedName name="ccytd" localSheetId="39">#REF!</definedName>
    <definedName name="ccytd" localSheetId="41">#REF!</definedName>
    <definedName name="ccytd" localSheetId="6">#REF!</definedName>
    <definedName name="ccytd" localSheetId="12">#REF!</definedName>
    <definedName name="ccytd" localSheetId="18">#REF!</definedName>
    <definedName name="ccytd" localSheetId="13">#REF!</definedName>
    <definedName name="ccytd" localSheetId="20">#REF!</definedName>
    <definedName name="ccytd" localSheetId="21">#REF!</definedName>
    <definedName name="ccytd" localSheetId="14">#REF!</definedName>
    <definedName name="ccytd" localSheetId="15">#REF!</definedName>
    <definedName name="ccytd" localSheetId="22">#REF!</definedName>
    <definedName name="ccytd" localSheetId="23">#REF!</definedName>
    <definedName name="ccytd" localSheetId="16">#REF!</definedName>
    <definedName name="ccytd" localSheetId="19">#REF!</definedName>
    <definedName name="ccytd" localSheetId="24">#REF!</definedName>
    <definedName name="ccytd" localSheetId="25">#REF!</definedName>
    <definedName name="ccytd" localSheetId="17">#REF!</definedName>
    <definedName name="ccytd" localSheetId="11">#REF!</definedName>
    <definedName name="ccytd">#REF!</definedName>
    <definedName name="ccytdgoal" localSheetId="36">#REF!</definedName>
    <definedName name="ccytdgoal" localSheetId="1">#REF!</definedName>
    <definedName name="ccytdgoal" localSheetId="37">#REF!</definedName>
    <definedName name="ccytdgoal" localSheetId="2">#REF!</definedName>
    <definedName name="ccytdgoal" localSheetId="38">#REF!</definedName>
    <definedName name="ccytdgoal" localSheetId="40">#REF!</definedName>
    <definedName name="ccytdgoal" localSheetId="4">#REF!</definedName>
    <definedName name="ccytdgoal" localSheetId="39">#REF!</definedName>
    <definedName name="ccytdgoal" localSheetId="41">#REF!</definedName>
    <definedName name="ccytdgoal" localSheetId="6">#REF!</definedName>
    <definedName name="ccytdgoal" localSheetId="12">#REF!</definedName>
    <definedName name="ccytdgoal" localSheetId="18">#REF!</definedName>
    <definedName name="ccytdgoal" localSheetId="13">#REF!</definedName>
    <definedName name="ccytdgoal" localSheetId="20">#REF!</definedName>
    <definedName name="ccytdgoal" localSheetId="21">#REF!</definedName>
    <definedName name="ccytdgoal" localSheetId="14">#REF!</definedName>
    <definedName name="ccytdgoal" localSheetId="15">#REF!</definedName>
    <definedName name="ccytdgoal" localSheetId="22">#REF!</definedName>
    <definedName name="ccytdgoal" localSheetId="23">#REF!</definedName>
    <definedName name="ccytdgoal" localSheetId="16">#REF!</definedName>
    <definedName name="ccytdgoal" localSheetId="19">#REF!</definedName>
    <definedName name="ccytdgoal" localSheetId="24">#REF!</definedName>
    <definedName name="ccytdgoal" localSheetId="25">#REF!</definedName>
    <definedName name="ccytdgoal" localSheetId="17">#REF!</definedName>
    <definedName name="ccytdgoal" localSheetId="11">#REF!</definedName>
    <definedName name="ccytdgoal">#REF!</definedName>
    <definedName name="cgl" localSheetId="37" hidden="1">{#N/A,#N/A,FALSE,"GLDwnLoad"}</definedName>
    <definedName name="cgl" hidden="1">{#N/A,#N/A,FALSE,"GLDwnLoad"}</definedName>
    <definedName name="clmacytd" localSheetId="27">#REF!</definedName>
    <definedName name="clmacytd" localSheetId="29">#REF!</definedName>
    <definedName name="clmacytd" localSheetId="30">#REF!</definedName>
    <definedName name="clmacytd" localSheetId="36">#REF!</definedName>
    <definedName name="clmacytd" localSheetId="1">#REF!</definedName>
    <definedName name="clmacytd" localSheetId="37">#REF!</definedName>
    <definedName name="clmacytd" localSheetId="2">#REF!</definedName>
    <definedName name="clmacytd" localSheetId="38">#REF!</definedName>
    <definedName name="clmacytd" localSheetId="40">#REF!</definedName>
    <definedName name="clmacytd" localSheetId="4">#REF!</definedName>
    <definedName name="clmacytd" localSheetId="39">#REF!</definedName>
    <definedName name="clmacytd" localSheetId="41">#REF!</definedName>
    <definedName name="clmacytd" localSheetId="6">#REF!</definedName>
    <definedName name="clmacytd" localSheetId="12">#REF!</definedName>
    <definedName name="clmacytd" localSheetId="18">#REF!</definedName>
    <definedName name="clmacytd" localSheetId="13">#REF!</definedName>
    <definedName name="clmacytd" localSheetId="20">#REF!</definedName>
    <definedName name="clmacytd" localSheetId="21">#REF!</definedName>
    <definedName name="clmacytd" localSheetId="14">#REF!</definedName>
    <definedName name="clmacytd" localSheetId="15">#REF!</definedName>
    <definedName name="clmacytd" localSheetId="22">#REF!</definedName>
    <definedName name="clmacytd" localSheetId="23">#REF!</definedName>
    <definedName name="clmacytd" localSheetId="16">#REF!</definedName>
    <definedName name="clmacytd" localSheetId="19">#REF!</definedName>
    <definedName name="clmacytd" localSheetId="24">#REF!</definedName>
    <definedName name="clmacytd" localSheetId="25">#REF!</definedName>
    <definedName name="clmacytd" localSheetId="17">#REF!</definedName>
    <definedName name="clmacytd" localSheetId="11">#REF!</definedName>
    <definedName name="clmacytd">#REF!</definedName>
    <definedName name="clmacytdgoal" localSheetId="36">#REF!</definedName>
    <definedName name="clmacytdgoal" localSheetId="1">#REF!</definedName>
    <definedName name="clmacytdgoal" localSheetId="37">#REF!</definedName>
    <definedName name="clmacytdgoal" localSheetId="2">#REF!</definedName>
    <definedName name="clmacytdgoal" localSheetId="38">#REF!</definedName>
    <definedName name="clmacytdgoal" localSheetId="40">#REF!</definedName>
    <definedName name="clmacytdgoal" localSheetId="4">#REF!</definedName>
    <definedName name="clmacytdgoal" localSheetId="39">#REF!</definedName>
    <definedName name="clmacytdgoal" localSheetId="41">#REF!</definedName>
    <definedName name="clmacytdgoal" localSheetId="6">#REF!</definedName>
    <definedName name="clmacytdgoal" localSheetId="12">#REF!</definedName>
    <definedName name="clmacytdgoal" localSheetId="18">#REF!</definedName>
    <definedName name="clmacytdgoal" localSheetId="13">#REF!</definedName>
    <definedName name="clmacytdgoal" localSheetId="20">#REF!</definedName>
    <definedName name="clmacytdgoal" localSheetId="21">#REF!</definedName>
    <definedName name="clmacytdgoal" localSheetId="14">#REF!</definedName>
    <definedName name="clmacytdgoal" localSheetId="15">#REF!</definedName>
    <definedName name="clmacytdgoal" localSheetId="22">#REF!</definedName>
    <definedName name="clmacytdgoal" localSheetId="23">#REF!</definedName>
    <definedName name="clmacytdgoal" localSheetId="16">#REF!</definedName>
    <definedName name="clmacytdgoal" localSheetId="19">#REF!</definedName>
    <definedName name="clmacytdgoal" localSheetId="24">#REF!</definedName>
    <definedName name="clmacytdgoal" localSheetId="25">#REF!</definedName>
    <definedName name="clmacytdgoal" localSheetId="17">#REF!</definedName>
    <definedName name="clmacytdgoal" localSheetId="11">#REF!</definedName>
    <definedName name="clmacytdgoal">#REF!</definedName>
    <definedName name="clmeoact" localSheetId="27">#REF!</definedName>
    <definedName name="clmeoact" localSheetId="29">#REF!</definedName>
    <definedName name="clmeoact" localSheetId="30">#REF!</definedName>
    <definedName name="clmeoact" localSheetId="36">#REF!</definedName>
    <definedName name="clmeoact" localSheetId="1">#REF!</definedName>
    <definedName name="clmeoact" localSheetId="37">#REF!</definedName>
    <definedName name="clmeoact" localSheetId="2">#REF!</definedName>
    <definedName name="clmeoact" localSheetId="38">#REF!</definedName>
    <definedName name="clmeoact" localSheetId="40">#REF!</definedName>
    <definedName name="clmeoact" localSheetId="4">#REF!</definedName>
    <definedName name="clmeoact" localSheetId="39">#REF!</definedName>
    <definedName name="clmeoact" localSheetId="41">#REF!</definedName>
    <definedName name="clmeoact" localSheetId="6">#REF!</definedName>
    <definedName name="clmeoact" localSheetId="12">#REF!</definedName>
    <definedName name="clmeoact" localSheetId="18">#REF!</definedName>
    <definedName name="clmeoact" localSheetId="13">#REF!</definedName>
    <definedName name="clmeoact" localSheetId="20">#REF!</definedName>
    <definedName name="clmeoact" localSheetId="21">#REF!</definedName>
    <definedName name="clmeoact" localSheetId="14">#REF!</definedName>
    <definedName name="clmeoact" localSheetId="15">#REF!</definedName>
    <definedName name="clmeoact" localSheetId="22">#REF!</definedName>
    <definedName name="clmeoact" localSheetId="23">#REF!</definedName>
    <definedName name="clmeoact" localSheetId="16">#REF!</definedName>
    <definedName name="clmeoact" localSheetId="19">#REF!</definedName>
    <definedName name="clmeoact" localSheetId="24">#REF!</definedName>
    <definedName name="clmeoact" localSheetId="25">#REF!</definedName>
    <definedName name="clmeoact" localSheetId="17">#REF!</definedName>
    <definedName name="clmeoact" localSheetId="11">#REF!</definedName>
    <definedName name="clmeoact">#REF!</definedName>
    <definedName name="clmeoytdgoal" localSheetId="27">#REF!</definedName>
    <definedName name="clmeoytdgoal" localSheetId="29">#REF!</definedName>
    <definedName name="clmeoytdgoal" localSheetId="30">#REF!</definedName>
    <definedName name="clmeoytdgoal" localSheetId="36">#REF!</definedName>
    <definedName name="clmeoytdgoal" localSheetId="1">#REF!</definedName>
    <definedName name="clmeoytdgoal" localSheetId="37">#REF!</definedName>
    <definedName name="clmeoytdgoal" localSheetId="2">#REF!</definedName>
    <definedName name="clmeoytdgoal" localSheetId="38">#REF!</definedName>
    <definedName name="clmeoytdgoal" localSheetId="40">#REF!</definedName>
    <definedName name="clmeoytdgoal" localSheetId="4">#REF!</definedName>
    <definedName name="clmeoytdgoal" localSheetId="39">#REF!</definedName>
    <definedName name="clmeoytdgoal" localSheetId="41">#REF!</definedName>
    <definedName name="clmeoytdgoal" localSheetId="6">#REF!</definedName>
    <definedName name="clmeoytdgoal" localSheetId="12">#REF!</definedName>
    <definedName name="clmeoytdgoal" localSheetId="18">#REF!</definedName>
    <definedName name="clmeoytdgoal" localSheetId="13">#REF!</definedName>
    <definedName name="clmeoytdgoal" localSheetId="20">#REF!</definedName>
    <definedName name="clmeoytdgoal" localSheetId="21">#REF!</definedName>
    <definedName name="clmeoytdgoal" localSheetId="14">#REF!</definedName>
    <definedName name="clmeoytdgoal" localSheetId="15">#REF!</definedName>
    <definedName name="clmeoytdgoal" localSheetId="22">#REF!</definedName>
    <definedName name="clmeoytdgoal" localSheetId="23">#REF!</definedName>
    <definedName name="clmeoytdgoal" localSheetId="16">#REF!</definedName>
    <definedName name="clmeoytdgoal" localSheetId="19">#REF!</definedName>
    <definedName name="clmeoytdgoal" localSheetId="24">#REF!</definedName>
    <definedName name="clmeoytdgoal" localSheetId="25">#REF!</definedName>
    <definedName name="clmeoytdgoal" localSheetId="17">#REF!</definedName>
    <definedName name="clmeoytdgoal" localSheetId="11">#REF!</definedName>
    <definedName name="clmeoytdgoal">#REF!</definedName>
    <definedName name="cont" localSheetId="36">#REF!</definedName>
    <definedName name="cont" localSheetId="1">#REF!</definedName>
    <definedName name="cont" localSheetId="37">#REF!</definedName>
    <definedName name="cont" localSheetId="2">#REF!</definedName>
    <definedName name="cont" localSheetId="38">#REF!</definedName>
    <definedName name="cont" localSheetId="40">#REF!</definedName>
    <definedName name="cont" localSheetId="4">#REF!</definedName>
    <definedName name="cont" localSheetId="39">#REF!</definedName>
    <definedName name="cont" localSheetId="41">#REF!</definedName>
    <definedName name="cont" localSheetId="6">#REF!</definedName>
    <definedName name="cont" localSheetId="12">#REF!</definedName>
    <definedName name="cont" localSheetId="18">#REF!</definedName>
    <definedName name="cont" localSheetId="13">#REF!</definedName>
    <definedName name="cont" localSheetId="20">#REF!</definedName>
    <definedName name="cont" localSheetId="21">#REF!</definedName>
    <definedName name="cont" localSheetId="14">#REF!</definedName>
    <definedName name="cont" localSheetId="15">#REF!</definedName>
    <definedName name="cont" localSheetId="22">#REF!</definedName>
    <definedName name="cont" localSheetId="23">#REF!</definedName>
    <definedName name="cont" localSheetId="16">#REF!</definedName>
    <definedName name="cont" localSheetId="19">#REF!</definedName>
    <definedName name="cont" localSheetId="24">#REF!</definedName>
    <definedName name="cont" localSheetId="25">#REF!</definedName>
    <definedName name="cont" localSheetId="17">#REF!</definedName>
    <definedName name="cont" localSheetId="11">#REF!</definedName>
    <definedName name="cont">#REF!</definedName>
    <definedName name="CycleProjects" localSheetId="36">#REF!,#REF!,#REF!,#REF!,#REF!,#REF!,#REF!,#REF!,#REF!,#REF!,#REF!</definedName>
    <definedName name="CycleProjects" localSheetId="1">#REF!,#REF!,#REF!,#REF!,#REF!,#REF!,#REF!,#REF!,#REF!,#REF!,#REF!</definedName>
    <definedName name="CycleProjects" localSheetId="37">#REF!,#REF!,#REF!,#REF!,#REF!,#REF!,#REF!,#REF!,#REF!,#REF!,#REF!</definedName>
    <definedName name="CycleProjects" localSheetId="2">#REF!,#REF!,#REF!,#REF!,#REF!,#REF!,#REF!,#REF!,#REF!,#REF!,#REF!</definedName>
    <definedName name="CycleProjects" localSheetId="38">#REF!,#REF!,#REF!,#REF!,#REF!,#REF!,#REF!,#REF!,#REF!,#REF!,#REF!</definedName>
    <definedName name="CycleProjects" localSheetId="40">#REF!,#REF!,#REF!,#REF!,#REF!,#REF!,#REF!,#REF!,#REF!,#REF!,#REF!</definedName>
    <definedName name="CycleProjects" localSheetId="4">#REF!,#REF!,#REF!,#REF!,#REF!,#REF!,#REF!,#REF!,#REF!,#REF!,#REF!</definedName>
    <definedName name="CycleProjects" localSheetId="39">#REF!,#REF!,#REF!,#REF!,#REF!,#REF!,#REF!,#REF!,#REF!,#REF!,#REF!</definedName>
    <definedName name="CycleProjects" localSheetId="41">#REF!,#REF!,#REF!,#REF!,#REF!,#REF!,#REF!,#REF!,#REF!,#REF!,#REF!</definedName>
    <definedName name="CycleProjects" localSheetId="6">#REF!,#REF!,#REF!,#REF!,#REF!,#REF!,#REF!,#REF!,#REF!,#REF!,#REF!</definedName>
    <definedName name="CycleProjects" localSheetId="12">#REF!,#REF!,#REF!,#REF!,#REF!,#REF!,#REF!,#REF!,#REF!,#REF!,#REF!</definedName>
    <definedName name="CycleProjects" localSheetId="18">#REF!,#REF!,#REF!,#REF!,#REF!,#REF!,#REF!,#REF!,#REF!,#REF!,#REF!</definedName>
    <definedName name="CycleProjects" localSheetId="13">#REF!,#REF!,#REF!,#REF!,#REF!,#REF!,#REF!,#REF!,#REF!,#REF!,#REF!</definedName>
    <definedName name="CycleProjects" localSheetId="20">#REF!,#REF!,#REF!,#REF!,#REF!,#REF!,#REF!,#REF!,#REF!,#REF!,#REF!</definedName>
    <definedName name="CycleProjects" localSheetId="21">#REF!,#REF!,#REF!,#REF!,#REF!,#REF!,#REF!,#REF!,#REF!,#REF!,#REF!</definedName>
    <definedName name="CycleProjects" localSheetId="14">#REF!,#REF!,#REF!,#REF!,#REF!,#REF!,#REF!,#REF!,#REF!,#REF!,#REF!</definedName>
    <definedName name="CycleProjects" localSheetId="15">#REF!,#REF!,#REF!,#REF!,#REF!,#REF!,#REF!,#REF!,#REF!,#REF!,#REF!</definedName>
    <definedName name="CycleProjects" localSheetId="22">#REF!,#REF!,#REF!,#REF!,#REF!,#REF!,#REF!,#REF!,#REF!,#REF!,#REF!</definedName>
    <definedName name="CycleProjects" localSheetId="23">#REF!,#REF!,#REF!,#REF!,#REF!,#REF!,#REF!,#REF!,#REF!,#REF!,#REF!</definedName>
    <definedName name="CycleProjects" localSheetId="16">#REF!,#REF!,#REF!,#REF!,#REF!,#REF!,#REF!,#REF!,#REF!,#REF!,#REF!</definedName>
    <definedName name="CycleProjects" localSheetId="19">#REF!,#REF!,#REF!,#REF!,#REF!,#REF!,#REF!,#REF!,#REF!,#REF!,#REF!</definedName>
    <definedName name="CycleProjects" localSheetId="24">#REF!,#REF!,#REF!,#REF!,#REF!,#REF!,#REF!,#REF!,#REF!,#REF!,#REF!</definedName>
    <definedName name="CycleProjects" localSheetId="25">#REF!,#REF!,#REF!,#REF!,#REF!,#REF!,#REF!,#REF!,#REF!,#REF!,#REF!</definedName>
    <definedName name="CycleProjects" localSheetId="17">#REF!,#REF!,#REF!,#REF!,#REF!,#REF!,#REF!,#REF!,#REF!,#REF!,#REF!</definedName>
    <definedName name="CycleProjects">#REF!,#REF!,#REF!,#REF!,#REF!,#REF!,#REF!,#REF!,#REF!,#REF!,#REF!</definedName>
    <definedName name="d">#REF!</definedName>
    <definedName name="direct_mail" localSheetId="36">#REF!</definedName>
    <definedName name="direct_mail" localSheetId="1">#REF!</definedName>
    <definedName name="direct_mail" localSheetId="37">#REF!</definedName>
    <definedName name="direct_mail" localSheetId="2">#REF!</definedName>
    <definedName name="direct_mail" localSheetId="38">#REF!</definedName>
    <definedName name="direct_mail" localSheetId="40">#REF!</definedName>
    <definedName name="direct_mail" localSheetId="4">#REF!</definedName>
    <definedName name="direct_mail" localSheetId="39">#REF!</definedName>
    <definedName name="direct_mail" localSheetId="41">#REF!</definedName>
    <definedName name="direct_mail" localSheetId="6">#REF!</definedName>
    <definedName name="direct_mail" localSheetId="12">#REF!</definedName>
    <definedName name="direct_mail" localSheetId="18">#REF!</definedName>
    <definedName name="direct_mail" localSheetId="13">#REF!</definedName>
    <definedName name="direct_mail" localSheetId="20">#REF!</definedName>
    <definedName name="direct_mail" localSheetId="21">#REF!</definedName>
    <definedName name="direct_mail" localSheetId="14">#REF!</definedName>
    <definedName name="direct_mail" localSheetId="15">#REF!</definedName>
    <definedName name="direct_mail" localSheetId="22">#REF!</definedName>
    <definedName name="direct_mail" localSheetId="23">#REF!</definedName>
    <definedName name="direct_mail" localSheetId="16">#REF!</definedName>
    <definedName name="direct_mail" localSheetId="19">#REF!</definedName>
    <definedName name="direct_mail" localSheetId="24">#REF!</definedName>
    <definedName name="direct_mail" localSheetId="25">#REF!</definedName>
    <definedName name="direct_mail" localSheetId="10">'[4]2005 CLP Table D - Marketing'!$C$7:$C$60</definedName>
    <definedName name="direct_mail" localSheetId="17">#REF!</definedName>
    <definedName name="direct_mail" localSheetId="11">#REF!</definedName>
    <definedName name="direct_mail">#REF!</definedName>
    <definedName name="DPUC_changes" localSheetId="36">'[1]CLP Table A  '!$I$1:$I$65536</definedName>
    <definedName name="DPUC_changes" localSheetId="1">'ES CT Electric Table A  '!#REF!</definedName>
    <definedName name="DPUC_changes" localSheetId="37">'[1]CLP Table A  '!$I$1:$I$65536</definedName>
    <definedName name="DPUC_changes" localSheetId="2">'ES CT Electric Table A  '!#REF!</definedName>
    <definedName name="DPUC_changes" localSheetId="38">'[1]CLP Table A  '!$I$1:$I$65536</definedName>
    <definedName name="DPUC_changes" localSheetId="40">'[1]CLP Table A  '!$I$1:$I$65536</definedName>
    <definedName name="DPUC_changes" localSheetId="4">'ES CT Electric Table A  '!#REF!</definedName>
    <definedName name="DPUC_changes" localSheetId="39">'[1]CLP Table A  '!$I$1:$I$65536</definedName>
    <definedName name="DPUC_changes" localSheetId="41">'[1]CLP Table A  '!$I$1:$I$65536</definedName>
    <definedName name="DPUC_changes" localSheetId="6">'ES CT Electric Table A  '!#REF!</definedName>
    <definedName name="DPUC_changes" localSheetId="12">'ES CT Electric Table A  '!#REF!</definedName>
    <definedName name="DPUC_changes" localSheetId="18">'ES CT Electric Table A  '!#REF!</definedName>
    <definedName name="DPUC_changes" localSheetId="13">'ES CT Electric Table A  '!#REF!</definedName>
    <definedName name="DPUC_changes" localSheetId="20">#REF!</definedName>
    <definedName name="DPUC_changes" localSheetId="21">'ES CT Electric Table A  '!#REF!</definedName>
    <definedName name="DPUC_changes" localSheetId="14">'ES CT Electric Table A  '!#REF!</definedName>
    <definedName name="DPUC_changes" localSheetId="15">'ES CT Electric Table A  '!#REF!</definedName>
    <definedName name="DPUC_changes" localSheetId="22">#REF!</definedName>
    <definedName name="DPUC_changes" localSheetId="23">'ES CT Electric Table A  '!#REF!</definedName>
    <definedName name="DPUC_changes" localSheetId="16">'ES CT Electric Table A  '!#REF!</definedName>
    <definedName name="DPUC_changes" localSheetId="19">'ES CT Electric Table A  '!#REF!</definedName>
    <definedName name="DPUC_changes" localSheetId="24">#REF!</definedName>
    <definedName name="DPUC_changes" localSheetId="25">'ES CT Electric Table A  '!#REF!</definedName>
    <definedName name="DPUC_changes" localSheetId="17">#REF!</definedName>
    <definedName name="DPUC_changes" localSheetId="11">'[2]CLM Programs'!#REF!</definedName>
    <definedName name="DPUC_changes">#REF!</definedName>
    <definedName name="DPUC_Market_adj" localSheetId="36">'[1]CLP Table A  '!$J$1:$J$65536</definedName>
    <definedName name="DPUC_Market_adj" localSheetId="1">'ES CT Electric Table A  '!#REF!</definedName>
    <definedName name="DPUC_Market_adj" localSheetId="37">'[1]CLP Table A  '!$J$1:$J$65536</definedName>
    <definedName name="DPUC_Market_adj" localSheetId="2">'ES CT Electric Table A  '!#REF!</definedName>
    <definedName name="DPUC_Market_adj" localSheetId="38">'[1]CLP Table A  '!$J$1:$J$65536</definedName>
    <definedName name="DPUC_Market_adj" localSheetId="40">'[1]CLP Table A  '!$J$1:$J$65536</definedName>
    <definedName name="DPUC_Market_adj" localSheetId="4">'ES CT Electric Table A  '!#REF!</definedName>
    <definedName name="DPUC_Market_adj" localSheetId="39">'[1]CLP Table A  '!$J$1:$J$65536</definedName>
    <definedName name="DPUC_Market_adj" localSheetId="41">'[1]CLP Table A  '!$J$1:$J$65536</definedName>
    <definedName name="DPUC_Market_adj" localSheetId="6">'ES CT Electric Table A  '!#REF!</definedName>
    <definedName name="DPUC_Market_adj" localSheetId="12">'ES CT Electric Table A  '!#REF!</definedName>
    <definedName name="DPUC_Market_adj" localSheetId="18">'ES CT Electric Table A  '!#REF!</definedName>
    <definedName name="DPUC_Market_adj" localSheetId="13">'ES CT Electric Table A  '!#REF!</definedName>
    <definedName name="DPUC_Market_adj" localSheetId="20">#REF!</definedName>
    <definedName name="DPUC_Market_adj" localSheetId="21">'ES CT Electric Table A  '!#REF!</definedName>
    <definedName name="DPUC_Market_adj" localSheetId="14">'ES CT Electric Table A  '!#REF!</definedName>
    <definedName name="DPUC_Market_adj" localSheetId="15">'ES CT Electric Table A  '!#REF!</definedName>
    <definedName name="DPUC_Market_adj" localSheetId="22">#REF!</definedName>
    <definedName name="DPUC_Market_adj" localSheetId="23">'ES CT Electric Table A  '!#REF!</definedName>
    <definedName name="DPUC_Market_adj" localSheetId="16">'ES CT Electric Table A  '!#REF!</definedName>
    <definedName name="DPUC_Market_adj" localSheetId="19">'ES CT Electric Table A  '!#REF!</definedName>
    <definedName name="DPUC_Market_adj" localSheetId="24">#REF!</definedName>
    <definedName name="DPUC_Market_adj" localSheetId="25">'ES CT Electric Table A  '!#REF!</definedName>
    <definedName name="DPUC_Market_adj" localSheetId="17">#REF!</definedName>
    <definedName name="DPUC_Market_adj" localSheetId="11">'[2]CLM Programs'!#REF!</definedName>
    <definedName name="DPUC_Market_adj">#REF!</definedName>
    <definedName name="e">#REF!</definedName>
    <definedName name="ebactual" localSheetId="27">#REF!</definedName>
    <definedName name="ebactual" localSheetId="29">#REF!</definedName>
    <definedName name="ebactual" localSheetId="30">#REF!</definedName>
    <definedName name="ebactual" localSheetId="36">#REF!</definedName>
    <definedName name="ebactual" localSheetId="1">#REF!</definedName>
    <definedName name="ebactual" localSheetId="37">#REF!</definedName>
    <definedName name="ebactual" localSheetId="2">#REF!</definedName>
    <definedName name="ebactual" localSheetId="38">#REF!</definedName>
    <definedName name="ebactual" localSheetId="40">#REF!</definedName>
    <definedName name="ebactual" localSheetId="4">#REF!</definedName>
    <definedName name="ebactual" localSheetId="39">#REF!</definedName>
    <definedName name="ebactual" localSheetId="41">#REF!</definedName>
    <definedName name="ebactual" localSheetId="6">#REF!</definedName>
    <definedName name="ebactual" localSheetId="12">#REF!</definedName>
    <definedName name="ebactual" localSheetId="18">#REF!</definedName>
    <definedName name="ebactual" localSheetId="13">#REF!</definedName>
    <definedName name="ebactual" localSheetId="20">#REF!</definedName>
    <definedName name="ebactual" localSheetId="21">#REF!</definedName>
    <definedName name="ebactual" localSheetId="14">#REF!</definedName>
    <definedName name="ebactual" localSheetId="15">#REF!</definedName>
    <definedName name="ebactual" localSheetId="22">#REF!</definedName>
    <definedName name="ebactual" localSheetId="23">#REF!</definedName>
    <definedName name="ebactual" localSheetId="16">#REF!</definedName>
    <definedName name="ebactual" localSheetId="19">#REF!</definedName>
    <definedName name="ebactual" localSheetId="24">#REF!</definedName>
    <definedName name="ebactual" localSheetId="25">#REF!</definedName>
    <definedName name="ebactual" localSheetId="17">#REF!</definedName>
    <definedName name="ebactual" localSheetId="11">#REF!</definedName>
    <definedName name="ebactual">#REF!</definedName>
    <definedName name="ebbudget" localSheetId="27">#REF!</definedName>
    <definedName name="ebbudget" localSheetId="29">#REF!</definedName>
    <definedName name="ebbudget" localSheetId="30">#REF!</definedName>
    <definedName name="ebbudget" localSheetId="36">#REF!</definedName>
    <definedName name="ebbudget" localSheetId="1">#REF!</definedName>
    <definedName name="ebbudget" localSheetId="37">#REF!</definedName>
    <definedName name="ebbudget" localSheetId="2">#REF!</definedName>
    <definedName name="ebbudget" localSheetId="38">#REF!</definedName>
    <definedName name="ebbudget" localSheetId="40">#REF!</definedName>
    <definedName name="ebbudget" localSheetId="4">#REF!</definedName>
    <definedName name="ebbudget" localSheetId="39">#REF!</definedName>
    <definedName name="ebbudget" localSheetId="41">#REF!</definedName>
    <definedName name="ebbudget" localSheetId="6">#REF!</definedName>
    <definedName name="ebbudget" localSheetId="12">#REF!</definedName>
    <definedName name="ebbudget" localSheetId="18">#REF!</definedName>
    <definedName name="ebbudget" localSheetId="13">#REF!</definedName>
    <definedName name="ebbudget" localSheetId="20">#REF!</definedName>
    <definedName name="ebbudget" localSheetId="21">#REF!</definedName>
    <definedName name="ebbudget" localSheetId="14">#REF!</definedName>
    <definedName name="ebbudget" localSheetId="15">#REF!</definedName>
    <definedName name="ebbudget" localSheetId="22">#REF!</definedName>
    <definedName name="ebbudget" localSheetId="23">#REF!</definedName>
    <definedName name="ebbudget" localSheetId="16">#REF!</definedName>
    <definedName name="ebbudget" localSheetId="19">#REF!</definedName>
    <definedName name="ebbudget" localSheetId="24">#REF!</definedName>
    <definedName name="ebbudget" localSheetId="25">#REF!</definedName>
    <definedName name="ebbudget" localSheetId="17">#REF!</definedName>
    <definedName name="ebbudget" localSheetId="11">#REF!</definedName>
    <definedName name="ebbudget">#REF!</definedName>
    <definedName name="ebsepbud" localSheetId="27">#REF!</definedName>
    <definedName name="ebsepbud" localSheetId="29">#REF!</definedName>
    <definedName name="ebsepbud" localSheetId="30">#REF!</definedName>
    <definedName name="ebsepbud" localSheetId="36">#REF!</definedName>
    <definedName name="ebsepbud" localSheetId="1">#REF!</definedName>
    <definedName name="ebsepbud" localSheetId="37">#REF!</definedName>
    <definedName name="ebsepbud" localSheetId="2">#REF!</definedName>
    <definedName name="ebsepbud" localSheetId="38">#REF!</definedName>
    <definedName name="ebsepbud" localSheetId="40">#REF!</definedName>
    <definedName name="ebsepbud" localSheetId="4">#REF!</definedName>
    <definedName name="ebsepbud" localSheetId="39">#REF!</definedName>
    <definedName name="ebsepbud" localSheetId="41">#REF!</definedName>
    <definedName name="ebsepbud" localSheetId="6">#REF!</definedName>
    <definedName name="ebsepbud" localSheetId="12">#REF!</definedName>
    <definedName name="ebsepbud" localSheetId="18">#REF!</definedName>
    <definedName name="ebsepbud" localSheetId="13">#REF!</definedName>
    <definedName name="ebsepbud" localSheetId="20">#REF!</definedName>
    <definedName name="ebsepbud" localSheetId="21">#REF!</definedName>
    <definedName name="ebsepbud" localSheetId="14">#REF!</definedName>
    <definedName name="ebsepbud" localSheetId="15">#REF!</definedName>
    <definedName name="ebsepbud" localSheetId="22">#REF!</definedName>
    <definedName name="ebsepbud" localSheetId="23">#REF!</definedName>
    <definedName name="ebsepbud" localSheetId="16">#REF!</definedName>
    <definedName name="ebsepbud" localSheetId="19">#REF!</definedName>
    <definedName name="ebsepbud" localSheetId="24">#REF!</definedName>
    <definedName name="ebsepbud" localSheetId="25">#REF!</definedName>
    <definedName name="ebsepbud" localSheetId="17">#REF!</definedName>
    <definedName name="ebsepbud" localSheetId="11">#REF!</definedName>
    <definedName name="ebsepbud">#REF!</definedName>
    <definedName name="ebsepfor" localSheetId="27">#REF!</definedName>
    <definedName name="ebsepfor" localSheetId="29">#REF!</definedName>
    <definedName name="ebsepfor" localSheetId="30">#REF!</definedName>
    <definedName name="ebsepfor" localSheetId="36">#REF!</definedName>
    <definedName name="ebsepfor" localSheetId="1">#REF!</definedName>
    <definedName name="ebsepfor" localSheetId="37">#REF!</definedName>
    <definedName name="ebsepfor" localSheetId="2">#REF!</definedName>
    <definedName name="ebsepfor" localSheetId="38">#REF!</definedName>
    <definedName name="ebsepfor" localSheetId="40">#REF!</definedName>
    <definedName name="ebsepfor" localSheetId="4">#REF!</definedName>
    <definedName name="ebsepfor" localSheetId="39">#REF!</definedName>
    <definedName name="ebsepfor" localSheetId="41">#REF!</definedName>
    <definedName name="ebsepfor" localSheetId="6">#REF!</definedName>
    <definedName name="ebsepfor" localSheetId="12">#REF!</definedName>
    <definedName name="ebsepfor" localSheetId="18">#REF!</definedName>
    <definedName name="ebsepfor" localSheetId="13">#REF!</definedName>
    <definedName name="ebsepfor" localSheetId="20">#REF!</definedName>
    <definedName name="ebsepfor" localSheetId="21">#REF!</definedName>
    <definedName name="ebsepfor" localSheetId="14">#REF!</definedName>
    <definedName name="ebsepfor" localSheetId="15">#REF!</definedName>
    <definedName name="ebsepfor" localSheetId="22">#REF!</definedName>
    <definedName name="ebsepfor" localSheetId="23">#REF!</definedName>
    <definedName name="ebsepfor" localSheetId="16">#REF!</definedName>
    <definedName name="ebsepfor" localSheetId="19">#REF!</definedName>
    <definedName name="ebsepfor" localSheetId="24">#REF!</definedName>
    <definedName name="ebsepfor" localSheetId="25">#REF!</definedName>
    <definedName name="ebsepfor" localSheetId="17">#REF!</definedName>
    <definedName name="ebsepfor" localSheetId="11">#REF!</definedName>
    <definedName name="ebsepfor">#REF!</definedName>
    <definedName name="ebytd" localSheetId="27">#REF!</definedName>
    <definedName name="ebytd" localSheetId="29">#REF!</definedName>
    <definedName name="ebytd" localSheetId="30">#REF!</definedName>
    <definedName name="ebytd" localSheetId="36">#REF!</definedName>
    <definedName name="ebytd" localSheetId="1">#REF!</definedName>
    <definedName name="ebytd" localSheetId="37">#REF!</definedName>
    <definedName name="ebytd" localSheetId="2">#REF!</definedName>
    <definedName name="ebytd" localSheetId="38">#REF!</definedName>
    <definedName name="ebytd" localSheetId="40">#REF!</definedName>
    <definedName name="ebytd" localSheetId="4">#REF!</definedName>
    <definedName name="ebytd" localSheetId="39">#REF!</definedName>
    <definedName name="ebytd" localSheetId="41">#REF!</definedName>
    <definedName name="ebytd" localSheetId="6">#REF!</definedName>
    <definedName name="ebytd" localSheetId="12">#REF!</definedName>
    <definedName name="ebytd" localSheetId="18">#REF!</definedName>
    <definedName name="ebytd" localSheetId="13">#REF!</definedName>
    <definedName name="ebytd" localSheetId="20">#REF!</definedName>
    <definedName name="ebytd" localSheetId="21">#REF!</definedName>
    <definedName name="ebytd" localSheetId="14">#REF!</definedName>
    <definedName name="ebytd" localSheetId="15">#REF!</definedName>
    <definedName name="ebytd" localSheetId="22">#REF!</definedName>
    <definedName name="ebytd" localSheetId="23">#REF!</definedName>
    <definedName name="ebytd" localSheetId="16">#REF!</definedName>
    <definedName name="ebytd" localSheetId="19">#REF!</definedName>
    <definedName name="ebytd" localSheetId="24">#REF!</definedName>
    <definedName name="ebytd" localSheetId="25">#REF!</definedName>
    <definedName name="ebytd" localSheetId="17">#REF!</definedName>
    <definedName name="ebytd" localSheetId="11">#REF!</definedName>
    <definedName name="ebytd">#REF!</definedName>
    <definedName name="ebytdgoal" localSheetId="36">#REF!</definedName>
    <definedName name="ebytdgoal" localSheetId="1">#REF!</definedName>
    <definedName name="ebytdgoal" localSheetId="37">#REF!</definedName>
    <definedName name="ebytdgoal" localSheetId="2">#REF!</definedName>
    <definedName name="ebytdgoal" localSheetId="38">#REF!</definedName>
    <definedName name="ebytdgoal" localSheetId="40">#REF!</definedName>
    <definedName name="ebytdgoal" localSheetId="4">#REF!</definedName>
    <definedName name="ebytdgoal" localSheetId="39">#REF!</definedName>
    <definedName name="ebytdgoal" localSheetId="41">#REF!</definedName>
    <definedName name="ebytdgoal" localSheetId="6">#REF!</definedName>
    <definedName name="ebytdgoal" localSheetId="12">#REF!</definedName>
    <definedName name="ebytdgoal" localSheetId="18">#REF!</definedName>
    <definedName name="ebytdgoal" localSheetId="13">#REF!</definedName>
    <definedName name="ebytdgoal" localSheetId="20">#REF!</definedName>
    <definedName name="ebytdgoal" localSheetId="21">#REF!</definedName>
    <definedName name="ebytdgoal" localSheetId="14">#REF!</definedName>
    <definedName name="ebytdgoal" localSheetId="15">#REF!</definedName>
    <definedName name="ebytdgoal" localSheetId="22">#REF!</definedName>
    <definedName name="ebytdgoal" localSheetId="23">#REF!</definedName>
    <definedName name="ebytdgoal" localSheetId="16">#REF!</definedName>
    <definedName name="ebytdgoal" localSheetId="19">#REF!</definedName>
    <definedName name="ebytdgoal" localSheetId="24">#REF!</definedName>
    <definedName name="ebytdgoal" localSheetId="25">#REF!</definedName>
    <definedName name="ebytdgoal" localSheetId="17">#REF!</definedName>
    <definedName name="ebytdgoal" localSheetId="11">#REF!</definedName>
    <definedName name="ebytdgoal">#REF!</definedName>
    <definedName name="eegoal" localSheetId="36">#REF!</definedName>
    <definedName name="eegoal" localSheetId="1">#REF!</definedName>
    <definedName name="eegoal" localSheetId="37">#REF!</definedName>
    <definedName name="eegoal" localSheetId="2">#REF!</definedName>
    <definedName name="eegoal" localSheetId="38">#REF!</definedName>
    <definedName name="eegoal" localSheetId="40">#REF!</definedName>
    <definedName name="eegoal" localSheetId="4">#REF!</definedName>
    <definedName name="eegoal" localSheetId="39">#REF!</definedName>
    <definedName name="eegoal" localSheetId="41">#REF!</definedName>
    <definedName name="eegoal" localSheetId="6">#REF!</definedName>
    <definedName name="eegoal" localSheetId="12">#REF!</definedName>
    <definedName name="eegoal" localSheetId="18">#REF!</definedName>
    <definedName name="eegoal" localSheetId="13">#REF!</definedName>
    <definedName name="eegoal" localSheetId="20">#REF!</definedName>
    <definedName name="eegoal" localSheetId="21">#REF!</definedName>
    <definedName name="eegoal" localSheetId="14">#REF!</definedName>
    <definedName name="eegoal" localSheetId="15">#REF!</definedName>
    <definedName name="eegoal" localSheetId="22">#REF!</definedName>
    <definedName name="eegoal" localSheetId="23">#REF!</definedName>
    <definedName name="eegoal" localSheetId="16">#REF!</definedName>
    <definedName name="eegoal" localSheetId="19">#REF!</definedName>
    <definedName name="eegoal" localSheetId="24">#REF!</definedName>
    <definedName name="eegoal" localSheetId="25">#REF!</definedName>
    <definedName name="eegoal" localSheetId="17">#REF!</definedName>
    <definedName name="eegoal" localSheetId="11">#REF!</definedName>
    <definedName name="eegoal">#REF!</definedName>
    <definedName name="eeperc" localSheetId="36">#REF!</definedName>
    <definedName name="eeperc" localSheetId="1">#REF!</definedName>
    <definedName name="eeperc" localSheetId="37">#REF!</definedName>
    <definedName name="eeperc" localSheetId="2">#REF!</definedName>
    <definedName name="eeperc" localSheetId="38">#REF!</definedName>
    <definedName name="eeperc" localSheetId="40">#REF!</definedName>
    <definedName name="eeperc" localSheetId="4">#REF!</definedName>
    <definedName name="eeperc" localSheetId="39">#REF!</definedName>
    <definedName name="eeperc" localSheetId="41">#REF!</definedName>
    <definedName name="eeperc" localSheetId="6">#REF!</definedName>
    <definedName name="eeperc" localSheetId="12">#REF!</definedName>
    <definedName name="eeperc" localSheetId="18">#REF!</definedName>
    <definedName name="eeperc" localSheetId="13">#REF!</definedName>
    <definedName name="eeperc" localSheetId="20">#REF!</definedName>
    <definedName name="eeperc" localSheetId="21">#REF!</definedName>
    <definedName name="eeperc" localSheetId="14">#REF!</definedName>
    <definedName name="eeperc" localSheetId="15">#REF!</definedName>
    <definedName name="eeperc" localSheetId="22">#REF!</definedName>
    <definedName name="eeperc" localSheetId="23">#REF!</definedName>
    <definedName name="eeperc" localSheetId="16">#REF!</definedName>
    <definedName name="eeperc" localSheetId="19">#REF!</definedName>
    <definedName name="eeperc" localSheetId="24">#REF!</definedName>
    <definedName name="eeperc" localSheetId="25">#REF!</definedName>
    <definedName name="eeperc" localSheetId="17">#REF!</definedName>
    <definedName name="eeperc" localSheetId="11">#REF!</definedName>
    <definedName name="eeperc">#REF!</definedName>
    <definedName name="eoomact" localSheetId="27">'[3]Attachment EL-17-1 Page 2 of 2'!#REF!</definedName>
    <definedName name="eoomact" localSheetId="29">'[3]Attachment EL-17-1 Page 2 of 2'!#REF!</definedName>
    <definedName name="eoomact" localSheetId="30">'[3]Attachment EL-17-1 Page 2 of 2'!#REF!</definedName>
    <definedName name="eoomact" localSheetId="36">'[3]Attachment EL-17-1 Page 2 of 2'!#REF!</definedName>
    <definedName name="eoomact" localSheetId="1">'[3]Attachment EL-17-1 Page 2 of 2'!#REF!</definedName>
    <definedName name="eoomact" localSheetId="37">'[3]Attachment EL-17-1 Page 2 of 2'!#REF!</definedName>
    <definedName name="eoomact" localSheetId="2">'[3]Attachment EL-17-1 Page 2 of 2'!#REF!</definedName>
    <definedName name="eoomact" localSheetId="38">'[3]Attachment EL-17-1 Page 2 of 2'!#REF!</definedName>
    <definedName name="eoomact" localSheetId="40">'[3]Attachment EL-17-1 Page 2 of 2'!#REF!</definedName>
    <definedName name="eoomact" localSheetId="4">'[3]Attachment EL-17-1 Page 2 of 2'!#REF!</definedName>
    <definedName name="eoomact" localSheetId="39">'[3]Attachment EL-17-1 Page 2 of 2'!#REF!</definedName>
    <definedName name="eoomact" localSheetId="41">'[3]Attachment EL-17-1 Page 2 of 2'!#REF!</definedName>
    <definedName name="eoomact" localSheetId="6">'[3]Attachment EL-17-1 Page 2 of 2'!#REF!</definedName>
    <definedName name="eoomact" localSheetId="12">'[3]Attachment EL-17-1 Page 2 of 2'!#REF!</definedName>
    <definedName name="eoomact" localSheetId="18">'[3]Attachment EL-17-1 Page 2 of 2'!#REF!</definedName>
    <definedName name="eoomact" localSheetId="13">'[3]Attachment EL-17-1 Page 2 of 2'!#REF!</definedName>
    <definedName name="eoomact" localSheetId="20">'[3]Attachment EL-17-1 Page 2 of 2'!#REF!</definedName>
    <definedName name="eoomact" localSheetId="21">'[3]Attachment EL-17-1 Page 2 of 2'!#REF!</definedName>
    <definedName name="eoomact" localSheetId="14">'[3]Attachment EL-17-1 Page 2 of 2'!#REF!</definedName>
    <definedName name="eoomact" localSheetId="15">'[3]Attachment EL-17-1 Page 2 of 2'!#REF!</definedName>
    <definedName name="eoomact" localSheetId="22">'[3]Attachment EL-17-1 Page 2 of 2'!#REF!</definedName>
    <definedName name="eoomact" localSheetId="23">'[3]Attachment EL-17-1 Page 2 of 2'!#REF!</definedName>
    <definedName name="eoomact" localSheetId="16">'[3]Attachment EL-17-1 Page 2 of 2'!#REF!</definedName>
    <definedName name="eoomact" localSheetId="19">'[3]Attachment EL-17-1 Page 2 of 2'!#REF!</definedName>
    <definedName name="eoomact" localSheetId="24">'[3]Attachment EL-17-1 Page 2 of 2'!#REF!</definedName>
    <definedName name="eoomact" localSheetId="25">'[3]Attachment EL-17-1 Page 2 of 2'!#REF!</definedName>
    <definedName name="eoomact" localSheetId="17">'[3]Attachment EL-17-1 Page 2 of 2'!#REF!</definedName>
    <definedName name="eoomact" localSheetId="11">'[3]Attachment EL-17-1 Page 2 of 2'!#REF!</definedName>
    <definedName name="eoomact">'[3]Attachment EL-17-1 Page 2 of 2'!#REF!</definedName>
    <definedName name="eoytd" localSheetId="27">#REF!</definedName>
    <definedName name="eoytd" localSheetId="29">#REF!</definedName>
    <definedName name="eoytd" localSheetId="30">#REF!</definedName>
    <definedName name="eoytd" localSheetId="36">#REF!</definedName>
    <definedName name="eoytd" localSheetId="1">#REF!</definedName>
    <definedName name="eoytd" localSheetId="37">#REF!</definedName>
    <definedName name="eoytd" localSheetId="2">#REF!</definedName>
    <definedName name="eoytd" localSheetId="38">#REF!</definedName>
    <definedName name="eoytd" localSheetId="40">#REF!</definedName>
    <definedName name="eoytd" localSheetId="4">#REF!</definedName>
    <definedName name="eoytd" localSheetId="39">#REF!</definedName>
    <definedName name="eoytd" localSheetId="41">#REF!</definedName>
    <definedName name="eoytd" localSheetId="6">#REF!</definedName>
    <definedName name="eoytd" localSheetId="12">#REF!</definedName>
    <definedName name="eoytd" localSheetId="18">#REF!</definedName>
    <definedName name="eoytd" localSheetId="13">#REF!</definedName>
    <definedName name="eoytd" localSheetId="20">#REF!</definedName>
    <definedName name="eoytd" localSheetId="21">#REF!</definedName>
    <definedName name="eoytd" localSheetId="14">#REF!</definedName>
    <definedName name="eoytd" localSheetId="15">#REF!</definedName>
    <definedName name="eoytd" localSheetId="22">#REF!</definedName>
    <definedName name="eoytd" localSheetId="23">#REF!</definedName>
    <definedName name="eoytd" localSheetId="16">#REF!</definedName>
    <definedName name="eoytd" localSheetId="19">#REF!</definedName>
    <definedName name="eoytd" localSheetId="24">#REF!</definedName>
    <definedName name="eoytd" localSheetId="25">#REF!</definedName>
    <definedName name="eoytd" localSheetId="17">#REF!</definedName>
    <definedName name="eoytd" localSheetId="11">#REF!</definedName>
    <definedName name="eoytd">#REF!</definedName>
    <definedName name="eoytdgoal" localSheetId="36">#REF!</definedName>
    <definedName name="eoytdgoal" localSheetId="1">#REF!</definedName>
    <definedName name="eoytdgoal" localSheetId="37">#REF!</definedName>
    <definedName name="eoytdgoal" localSheetId="2">#REF!</definedName>
    <definedName name="eoytdgoal" localSheetId="38">#REF!</definedName>
    <definedName name="eoytdgoal" localSheetId="40">#REF!</definedName>
    <definedName name="eoytdgoal" localSheetId="4">#REF!</definedName>
    <definedName name="eoytdgoal" localSheetId="39">#REF!</definedName>
    <definedName name="eoytdgoal" localSheetId="41">#REF!</definedName>
    <definedName name="eoytdgoal" localSheetId="6">#REF!</definedName>
    <definedName name="eoytdgoal" localSheetId="12">#REF!</definedName>
    <definedName name="eoytdgoal" localSheetId="18">#REF!</definedName>
    <definedName name="eoytdgoal" localSheetId="13">#REF!</definedName>
    <definedName name="eoytdgoal" localSheetId="20">#REF!</definedName>
    <definedName name="eoytdgoal" localSheetId="21">#REF!</definedName>
    <definedName name="eoytdgoal" localSheetId="14">#REF!</definedName>
    <definedName name="eoytdgoal" localSheetId="15">#REF!</definedName>
    <definedName name="eoytdgoal" localSheetId="22">#REF!</definedName>
    <definedName name="eoytdgoal" localSheetId="23">#REF!</definedName>
    <definedName name="eoytdgoal" localSheetId="16">#REF!</definedName>
    <definedName name="eoytdgoal" localSheetId="19">#REF!</definedName>
    <definedName name="eoytdgoal" localSheetId="24">#REF!</definedName>
    <definedName name="eoytdgoal" localSheetId="25">#REF!</definedName>
    <definedName name="eoytdgoal" localSheetId="17">#REF!</definedName>
    <definedName name="eoytdgoal" localSheetId="11">#REF!</definedName>
    <definedName name="eoytdgoal">#REF!</definedName>
    <definedName name="esytd" localSheetId="27">#REF!</definedName>
    <definedName name="esytd" localSheetId="29">#REF!</definedName>
    <definedName name="esytd" localSheetId="30">#REF!</definedName>
    <definedName name="esytd" localSheetId="36">#REF!</definedName>
    <definedName name="esytd" localSheetId="1">#REF!</definedName>
    <definedName name="esytd" localSheetId="37">#REF!</definedName>
    <definedName name="esytd" localSheetId="2">#REF!</definedName>
    <definedName name="esytd" localSheetId="38">#REF!</definedName>
    <definedName name="esytd" localSheetId="40">#REF!</definedName>
    <definedName name="esytd" localSheetId="4">#REF!</definedName>
    <definedName name="esytd" localSheetId="39">#REF!</definedName>
    <definedName name="esytd" localSheetId="41">#REF!</definedName>
    <definedName name="esytd" localSheetId="6">#REF!</definedName>
    <definedName name="esytd" localSheetId="12">#REF!</definedName>
    <definedName name="esytd" localSheetId="18">#REF!</definedName>
    <definedName name="esytd" localSheetId="13">#REF!</definedName>
    <definedName name="esytd" localSheetId="20">#REF!</definedName>
    <definedName name="esytd" localSheetId="21">#REF!</definedName>
    <definedName name="esytd" localSheetId="14">#REF!</definedName>
    <definedName name="esytd" localSheetId="15">#REF!</definedName>
    <definedName name="esytd" localSheetId="22">#REF!</definedName>
    <definedName name="esytd" localSheetId="23">#REF!</definedName>
    <definedName name="esytd" localSheetId="16">#REF!</definedName>
    <definedName name="esytd" localSheetId="19">#REF!</definedName>
    <definedName name="esytd" localSheetId="24">#REF!</definedName>
    <definedName name="esytd" localSheetId="25">#REF!</definedName>
    <definedName name="esytd" localSheetId="17">#REF!</definedName>
    <definedName name="esytd" localSheetId="11">#REF!</definedName>
    <definedName name="esytd">#REF!</definedName>
    <definedName name="gg" localSheetId="37" hidden="1">{#N/A,#N/A,FALSE,"GLDwnLoad"}</definedName>
    <definedName name="gg" hidden="1">{#N/A,#N/A,FALSE,"GLDwnLoad"}</definedName>
    <definedName name="gl" localSheetId="37" hidden="1">{#N/A,#N/A,FALSE,"GLDwnLoad"}</definedName>
    <definedName name="gl" hidden="1">{#N/A,#N/A,FALSE,"GLDwnLoad"}</definedName>
    <definedName name="helpsytd" localSheetId="27">#REF!</definedName>
    <definedName name="helpsytd" localSheetId="29">#REF!</definedName>
    <definedName name="helpsytd" localSheetId="30">#REF!</definedName>
    <definedName name="helpsytd" localSheetId="36">#REF!</definedName>
    <definedName name="helpsytd" localSheetId="1">#REF!</definedName>
    <definedName name="helpsytd" localSheetId="37">#REF!</definedName>
    <definedName name="helpsytd" localSheetId="2">#REF!</definedName>
    <definedName name="helpsytd" localSheetId="38">#REF!</definedName>
    <definedName name="helpsytd" localSheetId="40">#REF!</definedName>
    <definedName name="helpsytd" localSheetId="4">#REF!</definedName>
    <definedName name="helpsytd" localSheetId="39">#REF!</definedName>
    <definedName name="helpsytd" localSheetId="41">#REF!</definedName>
    <definedName name="helpsytd" localSheetId="6">#REF!</definedName>
    <definedName name="helpsytd" localSheetId="12">#REF!</definedName>
    <definedName name="helpsytd" localSheetId="18">#REF!</definedName>
    <definedName name="helpsytd" localSheetId="13">#REF!</definedName>
    <definedName name="helpsytd" localSheetId="20">#REF!</definedName>
    <definedName name="helpsytd" localSheetId="21">#REF!</definedName>
    <definedName name="helpsytd" localSheetId="14">#REF!</definedName>
    <definedName name="helpsytd" localSheetId="15">#REF!</definedName>
    <definedName name="helpsytd" localSheetId="22">#REF!</definedName>
    <definedName name="helpsytd" localSheetId="23">#REF!</definedName>
    <definedName name="helpsytd" localSheetId="16">#REF!</definedName>
    <definedName name="helpsytd" localSheetId="19">#REF!</definedName>
    <definedName name="helpsytd" localSheetId="24">#REF!</definedName>
    <definedName name="helpsytd" localSheetId="25">#REF!</definedName>
    <definedName name="helpsytd" localSheetId="17">#REF!</definedName>
    <definedName name="helpsytd" localSheetId="11">#REF!</definedName>
    <definedName name="helpsytd">#REF!</definedName>
    <definedName name="helpsytdgoal" localSheetId="36">#REF!</definedName>
    <definedName name="helpsytdgoal" localSheetId="1">#REF!</definedName>
    <definedName name="helpsytdgoal" localSheetId="37">#REF!</definedName>
    <definedName name="helpsytdgoal" localSheetId="2">#REF!</definedName>
    <definedName name="helpsytdgoal" localSheetId="38">#REF!</definedName>
    <definedName name="helpsytdgoal" localSheetId="40">#REF!</definedName>
    <definedName name="helpsytdgoal" localSheetId="4">#REF!</definedName>
    <definedName name="helpsytdgoal" localSheetId="39">#REF!</definedName>
    <definedName name="helpsytdgoal" localSheetId="41">#REF!</definedName>
    <definedName name="helpsytdgoal" localSheetId="6">#REF!</definedName>
    <definedName name="helpsytdgoal" localSheetId="12">#REF!</definedName>
    <definedName name="helpsytdgoal" localSheetId="18">#REF!</definedName>
    <definedName name="helpsytdgoal" localSheetId="13">#REF!</definedName>
    <definedName name="helpsytdgoal" localSheetId="20">#REF!</definedName>
    <definedName name="helpsytdgoal" localSheetId="21">#REF!</definedName>
    <definedName name="helpsytdgoal" localSheetId="14">#REF!</definedName>
    <definedName name="helpsytdgoal" localSheetId="15">#REF!</definedName>
    <definedName name="helpsytdgoal" localSheetId="22">#REF!</definedName>
    <definedName name="helpsytdgoal" localSheetId="23">#REF!</definedName>
    <definedName name="helpsytdgoal" localSheetId="16">#REF!</definedName>
    <definedName name="helpsytdgoal" localSheetId="19">#REF!</definedName>
    <definedName name="helpsytdgoal" localSheetId="24">#REF!</definedName>
    <definedName name="helpsytdgoal" localSheetId="25">#REF!</definedName>
    <definedName name="helpsytdgoal" localSheetId="17">#REF!</definedName>
    <definedName name="helpsytdgoal" localSheetId="11">#REF!</definedName>
    <definedName name="helpsytdgoal">#REF!</definedName>
    <definedName name="homesytd" localSheetId="27">#REF!</definedName>
    <definedName name="homesytd" localSheetId="29">#REF!</definedName>
    <definedName name="homesytd" localSheetId="30">#REF!</definedName>
    <definedName name="homesytd" localSheetId="36">#REF!</definedName>
    <definedName name="homesytd" localSheetId="1">#REF!</definedName>
    <definedName name="homesytd" localSheetId="37">#REF!</definedName>
    <definedName name="homesytd" localSheetId="2">#REF!</definedName>
    <definedName name="homesytd" localSheetId="38">#REF!</definedName>
    <definedName name="homesytd" localSheetId="40">#REF!</definedName>
    <definedName name="homesytd" localSheetId="4">#REF!</definedName>
    <definedName name="homesytd" localSheetId="39">#REF!</definedName>
    <definedName name="homesytd" localSheetId="41">#REF!</definedName>
    <definedName name="homesytd" localSheetId="6">#REF!</definedName>
    <definedName name="homesytd" localSheetId="12">#REF!</definedName>
    <definedName name="homesytd" localSheetId="18">#REF!</definedName>
    <definedName name="homesytd" localSheetId="13">#REF!</definedName>
    <definedName name="homesytd" localSheetId="20">#REF!</definedName>
    <definedName name="homesytd" localSheetId="21">#REF!</definedName>
    <definedName name="homesytd" localSheetId="14">#REF!</definedName>
    <definedName name="homesytd" localSheetId="15">#REF!</definedName>
    <definedName name="homesytd" localSheetId="22">#REF!</definedName>
    <definedName name="homesytd" localSheetId="23">#REF!</definedName>
    <definedName name="homesytd" localSheetId="16">#REF!</definedName>
    <definedName name="homesytd" localSheetId="19">#REF!</definedName>
    <definedName name="homesytd" localSheetId="24">#REF!</definedName>
    <definedName name="homesytd" localSheetId="25">#REF!</definedName>
    <definedName name="homesytd" localSheetId="17">#REF!</definedName>
    <definedName name="homesytd" localSheetId="11">#REF!</definedName>
    <definedName name="homesytd">#REF!</definedName>
    <definedName name="homesytdgoal" localSheetId="36">#REF!</definedName>
    <definedName name="homesytdgoal" localSheetId="1">#REF!</definedName>
    <definedName name="homesytdgoal" localSheetId="37">#REF!</definedName>
    <definedName name="homesytdgoal" localSheetId="2">#REF!</definedName>
    <definedName name="homesytdgoal" localSheetId="38">#REF!</definedName>
    <definedName name="homesytdgoal" localSheetId="40">#REF!</definedName>
    <definedName name="homesytdgoal" localSheetId="4">#REF!</definedName>
    <definedName name="homesytdgoal" localSheetId="39">#REF!</definedName>
    <definedName name="homesytdgoal" localSheetId="41">#REF!</definedName>
    <definedName name="homesytdgoal" localSheetId="6">#REF!</definedName>
    <definedName name="homesytdgoal" localSheetId="12">#REF!</definedName>
    <definedName name="homesytdgoal" localSheetId="18">#REF!</definedName>
    <definedName name="homesytdgoal" localSheetId="13">#REF!</definedName>
    <definedName name="homesytdgoal" localSheetId="20">#REF!</definedName>
    <definedName name="homesytdgoal" localSheetId="21">#REF!</definedName>
    <definedName name="homesytdgoal" localSheetId="14">#REF!</definedName>
    <definedName name="homesytdgoal" localSheetId="15">#REF!</definedName>
    <definedName name="homesytdgoal" localSheetId="22">#REF!</definedName>
    <definedName name="homesytdgoal" localSheetId="23">#REF!</definedName>
    <definedName name="homesytdgoal" localSheetId="16">#REF!</definedName>
    <definedName name="homesytdgoal" localSheetId="19">#REF!</definedName>
    <definedName name="homesytdgoal" localSheetId="24">#REF!</definedName>
    <definedName name="homesytdgoal" localSheetId="25">#REF!</definedName>
    <definedName name="homesytdgoal" localSheetId="17">#REF!</definedName>
    <definedName name="homesytdgoal" localSheetId="11">#REF!</definedName>
    <definedName name="homesytdgoal">#REF!</definedName>
    <definedName name="ID" localSheetId="9" hidden="1">"89a5d09d-3e3a-42d1-88d1-387116d7ded4"</definedName>
    <definedName name="ID" localSheetId="0" hidden="1">"13124792-f28b-4124-b558-4431f8f7f168"</definedName>
    <definedName name="ID" localSheetId="27" hidden="1">"50cd1a70-29a9-4433-b3d3-362471693864"</definedName>
    <definedName name="ID" localSheetId="29" hidden="1">"d155288e-09d5-4ca4-bcad-710860614b82"</definedName>
    <definedName name="ID" localSheetId="32" hidden="1">"d721bff8-74dd-4535-80eb-5ac7cb53b0c8"</definedName>
    <definedName name="ID" localSheetId="33" hidden="1">"449a501f-d38a-49da-a07d-1394f4c3bbdd"</definedName>
    <definedName name="ID" localSheetId="30" hidden="1">"596d4898-0a23-40fe-8d33-2075c1088d5a"</definedName>
    <definedName name="ID" localSheetId="26" hidden="1">"7cc19a0f-c786-4dae-8770-5704dd461661"</definedName>
    <definedName name="ID" localSheetId="31" hidden="1">"e2d73f4a-f132-496c-a6cd-7a34ad547073"</definedName>
    <definedName name="ID" localSheetId="28" hidden="1">"48e7bbc6-5eae-41db-92b5-e60d9b62a31c"</definedName>
    <definedName name="ID" localSheetId="34" hidden="1">"4e9398fe-233d-4e30-abd4-82cd67f2c052"</definedName>
    <definedName name="ID" localSheetId="35" hidden="1">"8db89134-7b9a-4c2d-b08e-001440187027"</definedName>
    <definedName name="ID" localSheetId="36" hidden="1">"4480e635-000b-4fc4-8b70-d2ea6780bf6f"</definedName>
    <definedName name="ID" localSheetId="1" hidden="1">"d4504c71-909f-4257-b134-46e156409742"</definedName>
    <definedName name="ID" localSheetId="37" hidden="1">"358406c9-1155-4b38-9202-bb7fb367ca1b"</definedName>
    <definedName name="ID" localSheetId="2" hidden="1">"62f02f29-a97c-4eca-8b08-dd71f67de6e5"</definedName>
    <definedName name="ID" localSheetId="8" hidden="1">"89a5d09d-3e3a-42d1-88d1-387116d7ded4"</definedName>
    <definedName name="ID" localSheetId="38" hidden="1">"9c88e7a5-4ba7-4842-bbbe-5eb90e5b6e30"</definedName>
    <definedName name="ID" localSheetId="40" hidden="1">"c6f4ee90-53a0-4d2e-82ed-c159280e690c"</definedName>
    <definedName name="ID" localSheetId="4" hidden="1">"8d24af13-c19e-4444-ad8a-d58de2071751"</definedName>
    <definedName name="ID" localSheetId="39" hidden="1">"2461e6f5-723c-4fe3-9b7b-2fc0e0565895"</definedName>
    <definedName name="ID" localSheetId="41" hidden="1">"8f6f313b-98d9-44a1-a4c5-96125e6390ba"</definedName>
    <definedName name="ID" localSheetId="6" hidden="1">"2997b2ac-4337-450b-8b8d-06cdb36eae7b"</definedName>
    <definedName name="ID" localSheetId="12" hidden="1">"87776e35-4d1a-4991-b8de-9cd335555d44"</definedName>
    <definedName name="ID" localSheetId="18" hidden="1">"b95b91bc-6c08-499d-8367-014f7e71b658"</definedName>
    <definedName name="ID" localSheetId="13" hidden="1">"77264fe4-6615-4b77-ab68-46cf15d171a8"</definedName>
    <definedName name="ID" localSheetId="20" hidden="1">"f188cef0-28eb-42e7-a8e5-faefdc316489"</definedName>
    <definedName name="ID" localSheetId="21" hidden="1">"397b9b1a-bce5-4e2f-8ab4-0308db0f40e1"</definedName>
    <definedName name="ID" localSheetId="14" hidden="1">"171673b2-0f69-4b79-b8bb-da6ff5f5432d"</definedName>
    <definedName name="ID" localSheetId="15" hidden="1">"171673b2-0f69-4b79-b8bb-da6ff5f5432d"</definedName>
    <definedName name="ID" localSheetId="22" hidden="1">"e4edea54-b55e-4766-b046-e22267e45c8d"</definedName>
    <definedName name="ID" localSheetId="23" hidden="1">"bbef205a-8508-42ab-a290-68cc25e672c5"</definedName>
    <definedName name="ID" localSheetId="16" hidden="1">"4b5ded43-4cc1-48ff-8fd3-691662078a8f"</definedName>
    <definedName name="ID" localSheetId="19" hidden="1">"4b5ded43-4cc1-48ff-8fd3-691662078a8f"</definedName>
    <definedName name="ID" localSheetId="24" hidden="1">"7ee85d21-97dc-483d-981b-cefd5f1cc49c"</definedName>
    <definedName name="ID" localSheetId="25" hidden="1">"3b1cffa1-9549-4233-8462-eb65546114f0"</definedName>
    <definedName name="ID" localSheetId="10" hidden="1">"d3830f39-f30f-451b-aa9c-e2fd9aacfeec"</definedName>
    <definedName name="ID" localSheetId="17" hidden="1">"d15d9981-b8d7-46e2-b9b0-23fe2c54b02e"</definedName>
    <definedName name="ID" localSheetId="11" hidden="1">"9ed734b3-52e9-48c6-bc9c-c690ea9681de"</definedName>
    <definedName name="iiiiiiiiiiii" localSheetId="36">'ES CT Electric Table A  '!#REF!</definedName>
    <definedName name="iiiiiiiiiiii" localSheetId="1">'ES CT Electric Table A  '!#REF!</definedName>
    <definedName name="iiiiiiiiiiii" localSheetId="37">'[6]ES CT Electric Table A  '!#REF!</definedName>
    <definedName name="iiiiiiiiiiii" localSheetId="2">'ES CT Electric Table A  '!#REF!</definedName>
    <definedName name="iiiiiiiiiiii" localSheetId="38">'ES CT Electric Table A  '!#REF!</definedName>
    <definedName name="iiiiiiiiiiii" localSheetId="40">'ES CT Electric Table A  '!#REF!</definedName>
    <definedName name="iiiiiiiiiiii" localSheetId="4">'ES CT Electric Table A  '!#REF!</definedName>
    <definedName name="iiiiiiiiiiii" localSheetId="39">'ES CT Electric Table A  '!#REF!</definedName>
    <definedName name="iiiiiiiiiiii" localSheetId="41">'ES CT Electric Table A  '!#REF!</definedName>
    <definedName name="iiiiiiiiiiii" localSheetId="6">'ES CT Electric Table A  '!#REF!</definedName>
    <definedName name="iiiiiiiiiiii" localSheetId="12">'ES CT Electric Table A  '!#REF!</definedName>
    <definedName name="iiiiiiiiiiii" localSheetId="18">'ES CT Electric Table A  '!#REF!</definedName>
    <definedName name="iiiiiiiiiiii" localSheetId="13">'ES CT Electric Table A  '!#REF!</definedName>
    <definedName name="iiiiiiiiiiii" localSheetId="20">'ES CT Electric Table A  '!#REF!</definedName>
    <definedName name="iiiiiiiiiiii" localSheetId="21">'ES CT Electric Table A  '!#REF!</definedName>
    <definedName name="iiiiiiiiiiii" localSheetId="14">'ES CT Electric Table A  '!#REF!</definedName>
    <definedName name="iiiiiiiiiiii" localSheetId="15">'ES CT Electric Table A  '!#REF!</definedName>
    <definedName name="iiiiiiiiiiii" localSheetId="22">'ES CT Electric Table A  '!#REF!</definedName>
    <definedName name="iiiiiiiiiiii" localSheetId="23">'ES CT Electric Table A  '!#REF!</definedName>
    <definedName name="iiiiiiiiiiii" localSheetId="16">'ES CT Electric Table A  '!#REF!</definedName>
    <definedName name="iiiiiiiiiiii" localSheetId="19">'ES CT Electric Table A  '!#REF!</definedName>
    <definedName name="iiiiiiiiiiii" localSheetId="24">'ES CT Electric Table A  '!#REF!</definedName>
    <definedName name="iiiiiiiiiiii" localSheetId="25">'ES CT Electric Table A  '!#REF!</definedName>
    <definedName name="iiiiiiiiiiii" localSheetId="17">'ES CT Electric Table A  '!#REF!</definedName>
    <definedName name="iiiiiiiiiiii">'[7]ES CT Electric Table A  '!#REF!</definedName>
    <definedName name="iiiiiiiiiiuuuu" localSheetId="36">'ES CT Electric Table A  '!#REF!</definedName>
    <definedName name="iiiiiiiiiiuuuu" localSheetId="1">'ES CT Electric Table A  '!#REF!</definedName>
    <definedName name="iiiiiiiiiiuuuu" localSheetId="37">'[6]ES CT Electric Table A  '!#REF!</definedName>
    <definedName name="iiiiiiiiiiuuuu" localSheetId="2">'ES CT Electric Table A  '!#REF!</definedName>
    <definedName name="iiiiiiiiiiuuuu" localSheetId="38">'ES CT Electric Table A  '!#REF!</definedName>
    <definedName name="iiiiiiiiiiuuuu" localSheetId="40">'ES CT Electric Table A  '!#REF!</definedName>
    <definedName name="iiiiiiiiiiuuuu" localSheetId="4">'ES CT Electric Table A  '!#REF!</definedName>
    <definedName name="iiiiiiiiiiuuuu" localSheetId="39">'ES CT Electric Table A  '!#REF!</definedName>
    <definedName name="iiiiiiiiiiuuuu" localSheetId="41">'ES CT Electric Table A  '!#REF!</definedName>
    <definedName name="iiiiiiiiiiuuuu" localSheetId="6">'ES CT Electric Table A  '!#REF!</definedName>
    <definedName name="iiiiiiiiiiuuuu" localSheetId="12">'ES CT Electric Table A  '!#REF!</definedName>
    <definedName name="iiiiiiiiiiuuuu" localSheetId="18">'ES CT Electric Table A  '!#REF!</definedName>
    <definedName name="iiiiiiiiiiuuuu" localSheetId="13">'ES CT Electric Table A  '!#REF!</definedName>
    <definedName name="iiiiiiiiiiuuuu" localSheetId="20">'ES CT Electric Table A  '!#REF!</definedName>
    <definedName name="iiiiiiiiiiuuuu" localSheetId="21">'ES CT Electric Table A  '!#REF!</definedName>
    <definedName name="iiiiiiiiiiuuuu" localSheetId="14">'ES CT Electric Table A  '!#REF!</definedName>
    <definedName name="iiiiiiiiiiuuuu" localSheetId="15">'ES CT Electric Table A  '!#REF!</definedName>
    <definedName name="iiiiiiiiiiuuuu" localSheetId="22">'ES CT Electric Table A  '!#REF!</definedName>
    <definedName name="iiiiiiiiiiuuuu" localSheetId="23">'ES CT Electric Table A  '!#REF!</definedName>
    <definedName name="iiiiiiiiiiuuuu" localSheetId="16">'ES CT Electric Table A  '!#REF!</definedName>
    <definedName name="iiiiiiiiiiuuuu" localSheetId="19">'ES CT Electric Table A  '!#REF!</definedName>
    <definedName name="iiiiiiiiiiuuuu" localSheetId="24">'ES CT Electric Table A  '!#REF!</definedName>
    <definedName name="iiiiiiiiiiuuuu" localSheetId="25">'ES CT Electric Table A  '!#REF!</definedName>
    <definedName name="iiiiiiiiiiuuuu" localSheetId="17">'ES CT Electric Table A  '!#REF!</definedName>
    <definedName name="iiiiiiiiiiuuuu">'[7]ES CT Electric Table A  '!#REF!</definedName>
    <definedName name="in" localSheetId="37" hidden="1">{#N/A,#N/A,FALSE,"OTHERINPUTS";#N/A,#N/A,FALSE,"DITRATEINPUTS";#N/A,#N/A,FALSE,"SUPPLIEDADJINPUT";#N/A,#N/A,FALSE,"TIMINGDIFFINPUTS";#N/A,#N/A,FALSE,"BR&amp;SUPADJ."}</definedName>
    <definedName name="in" hidden="1">{#N/A,#N/A,FALSE,"OTHERINPUTS";#N/A,#N/A,FALSE,"DITRATEINPUTS";#N/A,#N/A,FALSE,"SUPPLIEDADJINPUT";#N/A,#N/A,FALSE,"TIMINGDIFFINPUTS";#N/A,#N/A,FALSE,"BR&amp;SUPADJ."}</definedName>
    <definedName name="incentive1" localSheetId="9">#REF!</definedName>
    <definedName name="incentive1" localSheetId="0">#REF!</definedName>
    <definedName name="incentive1" localSheetId="36">#REF!</definedName>
    <definedName name="incentive1" localSheetId="1">#REF!</definedName>
    <definedName name="incentive1" localSheetId="37">#REF!</definedName>
    <definedName name="incentive1" localSheetId="2">#REF!</definedName>
    <definedName name="incentive1" localSheetId="8">#REF!</definedName>
    <definedName name="incentive1" localSheetId="38">#REF!</definedName>
    <definedName name="incentive1" localSheetId="40">#REF!</definedName>
    <definedName name="incentive1" localSheetId="4">#REF!</definedName>
    <definedName name="incentive1" localSheetId="39">#REF!</definedName>
    <definedName name="incentive1" localSheetId="41">#REF!</definedName>
    <definedName name="incentive1" localSheetId="6">#REF!</definedName>
    <definedName name="incentive1" localSheetId="12">#REF!</definedName>
    <definedName name="incentive1" localSheetId="18">#REF!</definedName>
    <definedName name="incentive1" localSheetId="13">#REF!</definedName>
    <definedName name="incentive1" localSheetId="20">#REF!</definedName>
    <definedName name="incentive1" localSheetId="21">#REF!</definedName>
    <definedName name="incentive1" localSheetId="14">#REF!</definedName>
    <definedName name="incentive1" localSheetId="15">#REF!</definedName>
    <definedName name="incentive1" localSheetId="22">#REF!</definedName>
    <definedName name="incentive1" localSheetId="23">#REF!</definedName>
    <definedName name="incentive1" localSheetId="16">#REF!</definedName>
    <definedName name="incentive1" localSheetId="19">#REF!</definedName>
    <definedName name="incentive1" localSheetId="24">#REF!</definedName>
    <definedName name="incentive1" localSheetId="25">#REF!</definedName>
    <definedName name="incentive1" localSheetId="10">#REF!</definedName>
    <definedName name="incentive1" localSheetId="17">#REF!</definedName>
    <definedName name="incentive1" localSheetId="11">#REF!</definedName>
    <definedName name="incentive1">#REF!</definedName>
    <definedName name="incentive1a" localSheetId="36">#REF!</definedName>
    <definedName name="incentive1a" localSheetId="1">#REF!</definedName>
    <definedName name="incentive1a" localSheetId="37">#REF!</definedName>
    <definedName name="incentive1a" localSheetId="2">#REF!</definedName>
    <definedName name="incentive1a" localSheetId="38">#REF!</definedName>
    <definedName name="incentive1a" localSheetId="40">#REF!</definedName>
    <definedName name="incentive1a" localSheetId="4">#REF!</definedName>
    <definedName name="incentive1a" localSheetId="39">#REF!</definedName>
    <definedName name="incentive1a" localSheetId="41">#REF!</definedName>
    <definedName name="incentive1a" localSheetId="6">#REF!</definedName>
    <definedName name="incentive1a" localSheetId="12">#REF!</definedName>
    <definedName name="incentive1a" localSheetId="18">#REF!</definedName>
    <definedName name="incentive1a" localSheetId="13">#REF!</definedName>
    <definedName name="incentive1a" localSheetId="20">#REF!</definedName>
    <definedName name="incentive1a" localSheetId="21">#REF!</definedName>
    <definedName name="incentive1a" localSheetId="14">#REF!</definedName>
    <definedName name="incentive1a" localSheetId="15">#REF!</definedName>
    <definedName name="incentive1a" localSheetId="22">#REF!</definedName>
    <definedName name="incentive1a" localSheetId="23">#REF!</definedName>
    <definedName name="incentive1a" localSheetId="16">#REF!</definedName>
    <definedName name="incentive1a" localSheetId="19">#REF!</definedName>
    <definedName name="incentive1a" localSheetId="24">#REF!</definedName>
    <definedName name="incentive1a" localSheetId="25">#REF!</definedName>
    <definedName name="incentive1a" localSheetId="17">#REF!</definedName>
    <definedName name="incentive1a" localSheetId="11">#REF!</definedName>
    <definedName name="incentive1a">#REF!</definedName>
    <definedName name="Interest" localSheetId="36">'ES CT Electric Table A  '!#REF!</definedName>
    <definedName name="Interest" localSheetId="1">'ES CT Electric Table A  '!#REF!</definedName>
    <definedName name="Interest" localSheetId="37">'[6]ES CT Electric Table A  '!#REF!</definedName>
    <definedName name="Interest" localSheetId="2">'ES CT Electric Table A  '!#REF!</definedName>
    <definedName name="Interest" localSheetId="38">'ES CT Electric Table A  '!#REF!</definedName>
    <definedName name="Interest" localSheetId="40">'ES CT Electric Table A  '!#REF!</definedName>
    <definedName name="Interest" localSheetId="4">'ES CT Electric Table A  '!#REF!</definedName>
    <definedName name="Interest" localSheetId="39">'ES CT Electric Table A  '!#REF!</definedName>
    <definedName name="Interest" localSheetId="41">'ES CT Electric Table A  '!#REF!</definedName>
    <definedName name="Interest" localSheetId="6">'ES CT Electric Table A  '!#REF!</definedName>
    <definedName name="Interest" localSheetId="12">'ES CT Electric Table A  '!#REF!</definedName>
    <definedName name="Interest" localSheetId="18">'ES CT Electric Table A  '!#REF!</definedName>
    <definedName name="Interest" localSheetId="13">'ES CT Electric Table A  '!#REF!</definedName>
    <definedName name="Interest" localSheetId="20">'ES CT Electric Table A  '!#REF!</definedName>
    <definedName name="Interest" localSheetId="21">'ES CT Electric Table A  '!#REF!</definedName>
    <definedName name="Interest" localSheetId="14">'ES CT Electric Table A  '!#REF!</definedName>
    <definedName name="Interest" localSheetId="15">'ES CT Electric Table A  '!#REF!</definedName>
    <definedName name="Interest" localSheetId="22">'ES CT Electric Table A  '!#REF!</definedName>
    <definedName name="Interest" localSheetId="23">'ES CT Electric Table A  '!#REF!</definedName>
    <definedName name="Interest" localSheetId="16">'ES CT Electric Table A  '!#REF!</definedName>
    <definedName name="Interest" localSheetId="19">'ES CT Electric Table A  '!#REF!</definedName>
    <definedName name="Interest" localSheetId="24">'ES CT Electric Table A  '!#REF!</definedName>
    <definedName name="Interest" localSheetId="25">'ES CT Electric Table A  '!#REF!</definedName>
    <definedName name="Interest" localSheetId="17">'ES CT Electric Table A  '!#REF!</definedName>
    <definedName name="Interest">'[7]ES CT Electric Table A  '!#REF!</definedName>
    <definedName name="Interest_alloc" localSheetId="36">'[1]CLP Table A  '!$K$11:$K$79</definedName>
    <definedName name="Interest_alloc" localSheetId="1">'ES CT Electric Table A  '!#REF!</definedName>
    <definedName name="Interest_alloc" localSheetId="37">'[1]CLP Table A  '!$K$11:$K$79</definedName>
    <definedName name="Interest_alloc" localSheetId="2">'ES CT Electric Table A  '!#REF!</definedName>
    <definedName name="Interest_alloc" localSheetId="38">'[1]CLP Table A  '!$K$11:$K$79</definedName>
    <definedName name="Interest_alloc" localSheetId="40">'[1]CLP Table A  '!$K$11:$K$79</definedName>
    <definedName name="Interest_alloc" localSheetId="4">'ES CT Electric Table A  '!#REF!</definedName>
    <definedName name="Interest_alloc" localSheetId="39">'[1]CLP Table A  '!$K$11:$K$79</definedName>
    <definedName name="Interest_alloc" localSheetId="41">'[1]CLP Table A  '!$K$11:$K$79</definedName>
    <definedName name="Interest_alloc" localSheetId="6">'ES CT Electric Table A  '!#REF!</definedName>
    <definedName name="Interest_alloc" localSheetId="12">'ES CT Electric Table A  '!#REF!</definedName>
    <definedName name="Interest_alloc" localSheetId="18">'ES CT Electric Table A  '!#REF!</definedName>
    <definedName name="Interest_alloc" localSheetId="13">'ES CT Electric Table A  '!#REF!</definedName>
    <definedName name="Interest_alloc" localSheetId="20">#REF!</definedName>
    <definedName name="Interest_alloc" localSheetId="21">'ES CT Electric Table A  '!#REF!</definedName>
    <definedName name="Interest_alloc" localSheetId="14">'ES CT Electric Table A  '!#REF!</definedName>
    <definedName name="Interest_alloc" localSheetId="15">'ES CT Electric Table A  '!#REF!</definedName>
    <definedName name="Interest_alloc" localSheetId="22">#REF!</definedName>
    <definedName name="Interest_alloc" localSheetId="23">'ES CT Electric Table A  '!#REF!</definedName>
    <definedName name="Interest_alloc" localSheetId="16">'ES CT Electric Table A  '!#REF!</definedName>
    <definedName name="Interest_alloc" localSheetId="19">'ES CT Electric Table A  '!#REF!</definedName>
    <definedName name="Interest_alloc" localSheetId="24">#REF!</definedName>
    <definedName name="Interest_alloc" localSheetId="25">'ES CT Electric Table A  '!#REF!</definedName>
    <definedName name="Interest_alloc" localSheetId="17">#REF!</definedName>
    <definedName name="Interest_alloc" localSheetId="11">'[2]CLM Programs'!#REF!</definedName>
    <definedName name="Interest_alloc">#REF!</definedName>
    <definedName name="iuii" localSheetId="36">'ES CT Electric Table A  '!#REF!</definedName>
    <definedName name="iuii" localSheetId="1">'ES CT Electric Table A  '!#REF!</definedName>
    <definedName name="iuii" localSheetId="37">'[6]ES CT Electric Table A  '!#REF!</definedName>
    <definedName name="iuii" localSheetId="2">'ES CT Electric Table A  '!#REF!</definedName>
    <definedName name="iuii" localSheetId="38">'ES CT Electric Table A  '!#REF!</definedName>
    <definedName name="iuii" localSheetId="40">'ES CT Electric Table A  '!#REF!</definedName>
    <definedName name="iuii" localSheetId="4">'ES CT Electric Table A  '!#REF!</definedName>
    <definedName name="iuii" localSheetId="39">'ES CT Electric Table A  '!#REF!</definedName>
    <definedName name="iuii" localSheetId="41">'ES CT Electric Table A  '!#REF!</definedName>
    <definedName name="iuii" localSheetId="6">'ES CT Electric Table A  '!#REF!</definedName>
    <definedName name="iuii" localSheetId="12">'ES CT Electric Table A  '!#REF!</definedName>
    <definedName name="iuii" localSheetId="18">'ES CT Electric Table A  '!#REF!</definedName>
    <definedName name="iuii" localSheetId="13">'ES CT Electric Table A  '!#REF!</definedName>
    <definedName name="iuii" localSheetId="20">'ES CT Electric Table A  '!#REF!</definedName>
    <definedName name="iuii" localSheetId="21">'ES CT Electric Table A  '!#REF!</definedName>
    <definedName name="iuii" localSheetId="14">'ES CT Electric Table A  '!#REF!</definedName>
    <definedName name="iuii" localSheetId="15">'ES CT Electric Table A  '!#REF!</definedName>
    <definedName name="iuii" localSheetId="22">'ES CT Electric Table A  '!#REF!</definedName>
    <definedName name="iuii" localSheetId="23">'ES CT Electric Table A  '!#REF!</definedName>
    <definedName name="iuii" localSheetId="16">'ES CT Electric Table A  '!#REF!</definedName>
    <definedName name="iuii" localSheetId="19">'ES CT Electric Table A  '!#REF!</definedName>
    <definedName name="iuii" localSheetId="24">'ES CT Electric Table A  '!#REF!</definedName>
    <definedName name="iuii" localSheetId="25">'ES CT Electric Table A  '!#REF!</definedName>
    <definedName name="iuii" localSheetId="17">'ES CT Electric Table A  '!#REF!</definedName>
    <definedName name="iuii">'[7]ES CT Electric Table A  '!#REF!</definedName>
    <definedName name="jkkjlj" localSheetId="37"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kjkj" localSheetId="37" hidden="1">{#N/A,#N/A,FALSE,"OTHERINPUTS";#N/A,#N/A,FALSE,"DITRATEINPUTS";#N/A,#N/A,FALSE,"SUPPLIEDADJINPUT";#N/A,#N/A,FALSE,"TIMINGDIFFINPUTS";#N/A,#N/A,FALSE,"BR&amp;SUPADJ."}</definedName>
    <definedName name="kjkj" hidden="1">{#N/A,#N/A,FALSE,"OTHERINPUTS";#N/A,#N/A,FALSE,"DITRATEINPUTS";#N/A,#N/A,FALSE,"SUPPLIEDADJINPUT";#N/A,#N/A,FALSE,"TIMINGDIFFINPUTS";#N/A,#N/A,FALSE,"BR&amp;SUPADJ."}</definedName>
    <definedName name="kkk" localSheetId="36">'ES CT Electric Table A  '!#REF!</definedName>
    <definedName name="kkk" localSheetId="1">'ES CT Electric Table A  '!#REF!</definedName>
    <definedName name="kkk" localSheetId="37">'[6]ES CT Electric Table A  '!#REF!</definedName>
    <definedName name="kkk" localSheetId="2">'ES CT Electric Table A  '!#REF!</definedName>
    <definedName name="kkk" localSheetId="38">'ES CT Electric Table A  '!#REF!</definedName>
    <definedName name="kkk" localSheetId="40">'ES CT Electric Table A  '!#REF!</definedName>
    <definedName name="kkk" localSheetId="4">'ES CT Electric Table A  '!#REF!</definedName>
    <definedName name="kkk" localSheetId="39">'ES CT Electric Table A  '!#REF!</definedName>
    <definedName name="kkk" localSheetId="41">'ES CT Electric Table A  '!#REF!</definedName>
    <definedName name="kkk" localSheetId="6">'ES CT Electric Table A  '!#REF!</definedName>
    <definedName name="kkk" localSheetId="12">'ES CT Electric Table A  '!#REF!</definedName>
    <definedName name="kkk" localSheetId="18">'ES CT Electric Table A  '!#REF!</definedName>
    <definedName name="kkk" localSheetId="13">'ES CT Electric Table A  '!#REF!</definedName>
    <definedName name="kkk" localSheetId="20">'ES CT Electric Table A  '!#REF!</definedName>
    <definedName name="kkk" localSheetId="21">'ES CT Electric Table A  '!#REF!</definedName>
    <definedName name="kkk" localSheetId="14">'ES CT Electric Table A  '!#REF!</definedName>
    <definedName name="kkk" localSheetId="15">'ES CT Electric Table A  '!#REF!</definedName>
    <definedName name="kkk" localSheetId="22">'ES CT Electric Table A  '!#REF!</definedName>
    <definedName name="kkk" localSheetId="23">'ES CT Electric Table A  '!#REF!</definedName>
    <definedName name="kkk" localSheetId="16">'ES CT Electric Table A  '!#REF!</definedName>
    <definedName name="kkk" localSheetId="19">'ES CT Electric Table A  '!#REF!</definedName>
    <definedName name="kkk" localSheetId="24">'ES CT Electric Table A  '!#REF!</definedName>
    <definedName name="kkk" localSheetId="25">'ES CT Electric Table A  '!#REF!</definedName>
    <definedName name="kkk" localSheetId="17">'ES CT Electric Table A  '!#REF!</definedName>
    <definedName name="kkk">'[7]ES CT Electric Table A  '!#REF!</definedName>
    <definedName name="kkkk" localSheetId="36">'ES CT Electric Table A  '!#REF!</definedName>
    <definedName name="kkkk" localSheetId="1">'ES CT Electric Table A  '!#REF!</definedName>
    <definedName name="kkkk" localSheetId="37">'[6]ES CT Electric Table A  '!#REF!</definedName>
    <definedName name="kkkk" localSheetId="2">'ES CT Electric Table A  '!#REF!</definedName>
    <definedName name="kkkk" localSheetId="38">'ES CT Electric Table A  '!#REF!</definedName>
    <definedName name="kkkk" localSheetId="40">'ES CT Electric Table A  '!#REF!</definedName>
    <definedName name="kkkk" localSheetId="4">'ES CT Electric Table A  '!#REF!</definedName>
    <definedName name="kkkk" localSheetId="39">'ES CT Electric Table A  '!#REF!</definedName>
    <definedName name="kkkk" localSheetId="41">'ES CT Electric Table A  '!#REF!</definedName>
    <definedName name="kkkk" localSheetId="6">'ES CT Electric Table A  '!#REF!</definedName>
    <definedName name="kkkk" localSheetId="12">'ES CT Electric Table A  '!#REF!</definedName>
    <definedName name="kkkk" localSheetId="18">'ES CT Electric Table A  '!#REF!</definedName>
    <definedName name="kkkk" localSheetId="13">'ES CT Electric Table A  '!#REF!</definedName>
    <definedName name="kkkk" localSheetId="20">'ES CT Electric Table A  '!#REF!</definedName>
    <definedName name="kkkk" localSheetId="21">'ES CT Electric Table A  '!#REF!</definedName>
    <definedName name="kkkk" localSheetId="14">'ES CT Electric Table A  '!#REF!</definedName>
    <definedName name="kkkk" localSheetId="15">'ES CT Electric Table A  '!#REF!</definedName>
    <definedName name="kkkk" localSheetId="22">'ES CT Electric Table A  '!#REF!</definedName>
    <definedName name="kkkk" localSheetId="23">'ES CT Electric Table A  '!#REF!</definedName>
    <definedName name="kkkk" localSheetId="16">'ES CT Electric Table A  '!#REF!</definedName>
    <definedName name="kkkk" localSheetId="19">'ES CT Electric Table A  '!#REF!</definedName>
    <definedName name="kkkk" localSheetId="24">'ES CT Electric Table A  '!#REF!</definedName>
    <definedName name="kkkk" localSheetId="25">'ES CT Electric Table A  '!#REF!</definedName>
    <definedName name="kkkk" localSheetId="17">'ES CT Electric Table A  '!#REF!</definedName>
    <definedName name="kkkk">'[7]ES CT Electric Table A  '!#REF!</definedName>
    <definedName name="lab" localSheetId="36">#REF!</definedName>
    <definedName name="lab" localSheetId="1">#REF!</definedName>
    <definedName name="lab" localSheetId="37">#REF!</definedName>
    <definedName name="lab" localSheetId="2">#REF!</definedName>
    <definedName name="lab" localSheetId="38">#REF!</definedName>
    <definedName name="lab" localSheetId="40">#REF!</definedName>
    <definedName name="lab" localSheetId="4">#REF!</definedName>
    <definedName name="lab" localSheetId="39">#REF!</definedName>
    <definedName name="lab" localSheetId="41">#REF!</definedName>
    <definedName name="lab" localSheetId="6">#REF!</definedName>
    <definedName name="lab" localSheetId="12">#REF!</definedName>
    <definedName name="lab" localSheetId="18">#REF!</definedName>
    <definedName name="lab" localSheetId="13">#REF!</definedName>
    <definedName name="lab" localSheetId="20">#REF!</definedName>
    <definedName name="lab" localSheetId="21">#REF!</definedName>
    <definedName name="lab" localSheetId="14">#REF!</definedName>
    <definedName name="lab" localSheetId="15">#REF!</definedName>
    <definedName name="lab" localSheetId="22">#REF!</definedName>
    <definedName name="lab" localSheetId="23">#REF!</definedName>
    <definedName name="lab" localSheetId="16">#REF!</definedName>
    <definedName name="lab" localSheetId="19">#REF!</definedName>
    <definedName name="lab" localSheetId="24">#REF!</definedName>
    <definedName name="lab" localSheetId="25">#REF!</definedName>
    <definedName name="lab" localSheetId="17">#REF!</definedName>
    <definedName name="lab" localSheetId="11">#REF!</definedName>
    <definedName name="lab">#REF!</definedName>
    <definedName name="lightsytd" localSheetId="27">#REF!</definedName>
    <definedName name="lightsytd" localSheetId="29">#REF!</definedName>
    <definedName name="lightsytd" localSheetId="30">#REF!</definedName>
    <definedName name="lightsytd" localSheetId="36">#REF!</definedName>
    <definedName name="lightsytd" localSheetId="1">#REF!</definedName>
    <definedName name="lightsytd" localSheetId="37">#REF!</definedName>
    <definedName name="lightsytd" localSheetId="2">#REF!</definedName>
    <definedName name="lightsytd" localSheetId="38">#REF!</definedName>
    <definedName name="lightsytd" localSheetId="40">#REF!</definedName>
    <definedName name="lightsytd" localSheetId="4">#REF!</definedName>
    <definedName name="lightsytd" localSheetId="39">#REF!</definedName>
    <definedName name="lightsytd" localSheetId="41">#REF!</definedName>
    <definedName name="lightsytd" localSheetId="6">#REF!</definedName>
    <definedName name="lightsytd" localSheetId="12">#REF!</definedName>
    <definedName name="lightsytd" localSheetId="18">#REF!</definedName>
    <definedName name="lightsytd" localSheetId="13">#REF!</definedName>
    <definedName name="lightsytd" localSheetId="20">#REF!</definedName>
    <definedName name="lightsytd" localSheetId="21">#REF!</definedName>
    <definedName name="lightsytd" localSheetId="14">#REF!</definedName>
    <definedName name="lightsytd" localSheetId="15">#REF!</definedName>
    <definedName name="lightsytd" localSheetId="22">#REF!</definedName>
    <definedName name="lightsytd" localSheetId="23">#REF!</definedName>
    <definedName name="lightsytd" localSheetId="16">#REF!</definedName>
    <definedName name="lightsytd" localSheetId="19">#REF!</definedName>
    <definedName name="lightsytd" localSheetId="24">#REF!</definedName>
    <definedName name="lightsytd" localSheetId="25">#REF!</definedName>
    <definedName name="lightsytd" localSheetId="17">#REF!</definedName>
    <definedName name="lightsytd" localSheetId="11">#REF!</definedName>
    <definedName name="lightsytd">#REF!</definedName>
    <definedName name="MB_PROJ_ID" localSheetId="36">#REF!</definedName>
    <definedName name="MB_PROJ_ID" localSheetId="1">#REF!</definedName>
    <definedName name="MB_PROJ_ID" localSheetId="37">#REF!</definedName>
    <definedName name="MB_PROJ_ID" localSheetId="2">#REF!</definedName>
    <definedName name="MB_PROJ_ID" localSheetId="38">#REF!</definedName>
    <definedName name="MB_PROJ_ID" localSheetId="40">#REF!</definedName>
    <definedName name="MB_PROJ_ID" localSheetId="4">#REF!</definedName>
    <definedName name="MB_PROJ_ID" localSheetId="39">#REF!</definedName>
    <definedName name="MB_PROJ_ID" localSheetId="41">#REF!</definedName>
    <definedName name="MB_PROJ_ID" localSheetId="6">#REF!</definedName>
    <definedName name="MB_PROJ_ID" localSheetId="12">#REF!</definedName>
    <definedName name="MB_PROJ_ID" localSheetId="18">#REF!</definedName>
    <definedName name="MB_PROJ_ID" localSheetId="13">#REF!</definedName>
    <definedName name="MB_PROJ_ID" localSheetId="20">#REF!</definedName>
    <definedName name="MB_PROJ_ID" localSheetId="21">#REF!</definedName>
    <definedName name="MB_PROJ_ID" localSheetId="14">#REF!</definedName>
    <definedName name="MB_PROJ_ID" localSheetId="15">#REF!</definedName>
    <definedName name="MB_PROJ_ID" localSheetId="22">#REF!</definedName>
    <definedName name="MB_PROJ_ID" localSheetId="23">#REF!</definedName>
    <definedName name="MB_PROJ_ID" localSheetId="16">#REF!</definedName>
    <definedName name="MB_PROJ_ID" localSheetId="19">#REF!</definedName>
    <definedName name="MB_PROJ_ID" localSheetId="24">#REF!</definedName>
    <definedName name="MB_PROJ_ID" localSheetId="25">#REF!</definedName>
    <definedName name="MB_PROJ_ID" localSheetId="17">#REF!</definedName>
    <definedName name="MB_PROJ_ID">#REF!</definedName>
    <definedName name="meytd" localSheetId="27">#REF!</definedName>
    <definedName name="meytd" localSheetId="29">#REF!</definedName>
    <definedName name="meytd" localSheetId="30">#REF!</definedName>
    <definedName name="meytd" localSheetId="36">#REF!</definedName>
    <definedName name="meytd" localSheetId="1">#REF!</definedName>
    <definedName name="meytd" localSheetId="37">#REF!</definedName>
    <definedName name="meytd" localSheetId="2">#REF!</definedName>
    <definedName name="meytd" localSheetId="38">#REF!</definedName>
    <definedName name="meytd" localSheetId="40">#REF!</definedName>
    <definedName name="meytd" localSheetId="4">#REF!</definedName>
    <definedName name="meytd" localSheetId="39">#REF!</definedName>
    <definedName name="meytd" localSheetId="41">#REF!</definedName>
    <definedName name="meytd" localSheetId="6">#REF!</definedName>
    <definedName name="meytd" localSheetId="12">#REF!</definedName>
    <definedName name="meytd" localSheetId="18">#REF!</definedName>
    <definedName name="meytd" localSheetId="13">#REF!</definedName>
    <definedName name="meytd" localSheetId="20">#REF!</definedName>
    <definedName name="meytd" localSheetId="21">#REF!</definedName>
    <definedName name="meytd" localSheetId="14">#REF!</definedName>
    <definedName name="meytd" localSheetId="15">#REF!</definedName>
    <definedName name="meytd" localSheetId="22">#REF!</definedName>
    <definedName name="meytd" localSheetId="23">#REF!</definedName>
    <definedName name="meytd" localSheetId="16">#REF!</definedName>
    <definedName name="meytd" localSheetId="19">#REF!</definedName>
    <definedName name="meytd" localSheetId="24">#REF!</definedName>
    <definedName name="meytd" localSheetId="25">#REF!</definedName>
    <definedName name="meytd" localSheetId="17">#REF!</definedName>
    <definedName name="meytd" localSheetId="11">#REF!</definedName>
    <definedName name="meytd">#REF!</definedName>
    <definedName name="OLE_LINK1" localSheetId="10">'ES CT Electric Table A  '!#REF!</definedName>
    <definedName name="omytd" localSheetId="27">#REF!</definedName>
    <definedName name="omytd" localSheetId="29">#REF!</definedName>
    <definedName name="omytd" localSheetId="30">#REF!</definedName>
    <definedName name="omytd" localSheetId="36">#REF!</definedName>
    <definedName name="omytd" localSheetId="1">#REF!</definedName>
    <definedName name="omytd" localSheetId="37">#REF!</definedName>
    <definedName name="omytd" localSheetId="2">#REF!</definedName>
    <definedName name="omytd" localSheetId="38">#REF!</definedName>
    <definedName name="omytd" localSheetId="40">#REF!</definedName>
    <definedName name="omytd" localSheetId="4">#REF!</definedName>
    <definedName name="omytd" localSheetId="39">#REF!</definedName>
    <definedName name="omytd" localSheetId="41">#REF!</definedName>
    <definedName name="omytd" localSheetId="6">#REF!</definedName>
    <definedName name="omytd" localSheetId="12">#REF!</definedName>
    <definedName name="omytd" localSheetId="18">#REF!</definedName>
    <definedName name="omytd" localSheetId="13">#REF!</definedName>
    <definedName name="omytd" localSheetId="20">#REF!</definedName>
    <definedName name="omytd" localSheetId="21">#REF!</definedName>
    <definedName name="omytd" localSheetId="14">#REF!</definedName>
    <definedName name="omytd" localSheetId="15">#REF!</definedName>
    <definedName name="omytd" localSheetId="22">#REF!</definedName>
    <definedName name="omytd" localSheetId="23">#REF!</definedName>
    <definedName name="omytd" localSheetId="16">#REF!</definedName>
    <definedName name="omytd" localSheetId="19">#REF!</definedName>
    <definedName name="omytd" localSheetId="24">#REF!</definedName>
    <definedName name="omytd" localSheetId="25">#REF!</definedName>
    <definedName name="omytd" localSheetId="17">#REF!</definedName>
    <definedName name="omytd" localSheetId="11">#REF!</definedName>
    <definedName name="omytd">#REF!</definedName>
    <definedName name="omytdgoal" localSheetId="36">#REF!</definedName>
    <definedName name="omytdgoal" localSheetId="1">#REF!</definedName>
    <definedName name="omytdgoal" localSheetId="37">#REF!</definedName>
    <definedName name="omytdgoal" localSheetId="2">#REF!</definedName>
    <definedName name="omytdgoal" localSheetId="38">#REF!</definedName>
    <definedName name="omytdgoal" localSheetId="40">#REF!</definedName>
    <definedName name="omytdgoal" localSheetId="4">#REF!</definedName>
    <definedName name="omytdgoal" localSheetId="39">#REF!</definedName>
    <definedName name="omytdgoal" localSheetId="41">#REF!</definedName>
    <definedName name="omytdgoal" localSheetId="6">#REF!</definedName>
    <definedName name="omytdgoal" localSheetId="12">#REF!</definedName>
    <definedName name="omytdgoal" localSheetId="18">#REF!</definedName>
    <definedName name="omytdgoal" localSheetId="13">#REF!</definedName>
    <definedName name="omytdgoal" localSheetId="20">#REF!</definedName>
    <definedName name="omytdgoal" localSheetId="21">#REF!</definedName>
    <definedName name="omytdgoal" localSheetId="14">#REF!</definedName>
    <definedName name="omytdgoal" localSheetId="15">#REF!</definedName>
    <definedName name="omytdgoal" localSheetId="22">#REF!</definedName>
    <definedName name="omytdgoal" localSheetId="23">#REF!</definedName>
    <definedName name="omytdgoal" localSheetId="16">#REF!</definedName>
    <definedName name="omytdgoal" localSheetId="19">#REF!</definedName>
    <definedName name="omytdgoal" localSheetId="24">#REF!</definedName>
    <definedName name="omytdgoal" localSheetId="25">#REF!</definedName>
    <definedName name="omytdgoal" localSheetId="17">#REF!</definedName>
    <definedName name="omytdgoal" localSheetId="11">#REF!</definedName>
    <definedName name="omytdgoal">#REF!</definedName>
    <definedName name="other_market" localSheetId="36">#REF!</definedName>
    <definedName name="other_market" localSheetId="1">#REF!</definedName>
    <definedName name="other_market" localSheetId="37">#REF!</definedName>
    <definedName name="other_market" localSheetId="2">#REF!</definedName>
    <definedName name="other_market" localSheetId="38">#REF!</definedName>
    <definedName name="other_market" localSheetId="40">#REF!</definedName>
    <definedName name="other_market" localSheetId="4">#REF!</definedName>
    <definedName name="other_market" localSheetId="39">#REF!</definedName>
    <definedName name="other_market" localSheetId="41">#REF!</definedName>
    <definedName name="other_market" localSheetId="6">#REF!</definedName>
    <definedName name="other_market" localSheetId="12">#REF!</definedName>
    <definedName name="other_market" localSheetId="18">#REF!</definedName>
    <definedName name="other_market" localSheetId="13">#REF!</definedName>
    <definedName name="other_market" localSheetId="20">#REF!</definedName>
    <definedName name="other_market" localSheetId="21">#REF!</definedName>
    <definedName name="other_market" localSheetId="14">#REF!</definedName>
    <definedName name="other_market" localSheetId="15">#REF!</definedName>
    <definedName name="other_market" localSheetId="22">#REF!</definedName>
    <definedName name="other_market" localSheetId="23">#REF!</definedName>
    <definedName name="other_market" localSheetId="16">#REF!</definedName>
    <definedName name="other_market" localSheetId="19">#REF!</definedName>
    <definedName name="other_market" localSheetId="24">#REF!</definedName>
    <definedName name="other_market" localSheetId="25">#REF!</definedName>
    <definedName name="other_market" localSheetId="10">'[4]2005 CLP Table D - Marketing'!$F$7:$F$54</definedName>
    <definedName name="other_market" localSheetId="17">#REF!</definedName>
    <definedName name="other_market" localSheetId="11">#REF!</definedName>
    <definedName name="other_market">#REF!</definedName>
    <definedName name="pmact" localSheetId="27">#REF!</definedName>
    <definedName name="pmact" localSheetId="29">#REF!</definedName>
    <definedName name="pmact" localSheetId="30">#REF!</definedName>
    <definedName name="pmact" localSheetId="36">#REF!</definedName>
    <definedName name="pmact" localSheetId="1">#REF!</definedName>
    <definedName name="pmact" localSheetId="37">#REF!</definedName>
    <definedName name="pmact" localSheetId="2">#REF!</definedName>
    <definedName name="pmact" localSheetId="38">#REF!</definedName>
    <definedName name="pmact" localSheetId="40">#REF!</definedName>
    <definedName name="pmact" localSheetId="4">#REF!</definedName>
    <definedName name="pmact" localSheetId="39">#REF!</definedName>
    <definedName name="pmact" localSheetId="41">#REF!</definedName>
    <definedName name="pmact" localSheetId="6">#REF!</definedName>
    <definedName name="pmact" localSheetId="12">#REF!</definedName>
    <definedName name="pmact" localSheetId="18">#REF!</definedName>
    <definedName name="pmact" localSheetId="13">#REF!</definedName>
    <definedName name="pmact" localSheetId="20">#REF!</definedName>
    <definedName name="pmact" localSheetId="21">#REF!</definedName>
    <definedName name="pmact" localSheetId="14">#REF!</definedName>
    <definedName name="pmact" localSheetId="15">#REF!</definedName>
    <definedName name="pmact" localSheetId="22">#REF!</definedName>
    <definedName name="pmact" localSheetId="23">#REF!</definedName>
    <definedName name="pmact" localSheetId="16">#REF!</definedName>
    <definedName name="pmact" localSheetId="19">#REF!</definedName>
    <definedName name="pmact" localSheetId="24">#REF!</definedName>
    <definedName name="pmact" localSheetId="25">#REF!</definedName>
    <definedName name="pmact" localSheetId="17">#REF!</definedName>
    <definedName name="pmact" localSheetId="11">#REF!</definedName>
    <definedName name="pmact">#REF!</definedName>
    <definedName name="pmbud" localSheetId="27">#REF!</definedName>
    <definedName name="pmbud" localSheetId="29">#REF!</definedName>
    <definedName name="pmbud" localSheetId="30">#REF!</definedName>
    <definedName name="pmbud" localSheetId="36">#REF!</definedName>
    <definedName name="pmbud" localSheetId="1">#REF!</definedName>
    <definedName name="pmbud" localSheetId="37">#REF!</definedName>
    <definedName name="pmbud" localSheetId="2">#REF!</definedName>
    <definedName name="pmbud" localSheetId="38">#REF!</definedName>
    <definedName name="pmbud" localSheetId="40">#REF!</definedName>
    <definedName name="pmbud" localSheetId="4">#REF!</definedName>
    <definedName name="pmbud" localSheetId="39">#REF!</definedName>
    <definedName name="pmbud" localSheetId="41">#REF!</definedName>
    <definedName name="pmbud" localSheetId="6">#REF!</definedName>
    <definedName name="pmbud" localSheetId="12">#REF!</definedName>
    <definedName name="pmbud" localSheetId="18">#REF!</definedName>
    <definedName name="pmbud" localSheetId="13">#REF!</definedName>
    <definedName name="pmbud" localSheetId="20">#REF!</definedName>
    <definedName name="pmbud" localSheetId="21">#REF!</definedName>
    <definedName name="pmbud" localSheetId="14">#REF!</definedName>
    <definedName name="pmbud" localSheetId="15">#REF!</definedName>
    <definedName name="pmbud" localSheetId="22">#REF!</definedName>
    <definedName name="pmbud" localSheetId="23">#REF!</definedName>
    <definedName name="pmbud" localSheetId="16">#REF!</definedName>
    <definedName name="pmbud" localSheetId="19">#REF!</definedName>
    <definedName name="pmbud" localSheetId="24">#REF!</definedName>
    <definedName name="pmbud" localSheetId="25">#REF!</definedName>
    <definedName name="pmbud" localSheetId="17">#REF!</definedName>
    <definedName name="pmbud" localSheetId="11">#REF!</definedName>
    <definedName name="pmbud">#REF!</definedName>
    <definedName name="pmfor" localSheetId="27">#REF!</definedName>
    <definedName name="pmfor" localSheetId="29">#REF!</definedName>
    <definedName name="pmfor" localSheetId="30">#REF!</definedName>
    <definedName name="pmfor" localSheetId="36">#REF!</definedName>
    <definedName name="pmfor" localSheetId="1">#REF!</definedName>
    <definedName name="pmfor" localSheetId="37">#REF!</definedName>
    <definedName name="pmfor" localSheetId="2">#REF!</definedName>
    <definedName name="pmfor" localSheetId="38">#REF!</definedName>
    <definedName name="pmfor" localSheetId="40">#REF!</definedName>
    <definedName name="pmfor" localSheetId="4">#REF!</definedName>
    <definedName name="pmfor" localSheetId="39">#REF!</definedName>
    <definedName name="pmfor" localSheetId="41">#REF!</definedName>
    <definedName name="pmfor" localSheetId="6">#REF!</definedName>
    <definedName name="pmfor" localSheetId="12">#REF!</definedName>
    <definedName name="pmfor" localSheetId="18">#REF!</definedName>
    <definedName name="pmfor" localSheetId="13">#REF!</definedName>
    <definedName name="pmfor" localSheetId="20">#REF!</definedName>
    <definedName name="pmfor" localSheetId="21">#REF!</definedName>
    <definedName name="pmfor" localSheetId="14">#REF!</definedName>
    <definedName name="pmfor" localSheetId="15">#REF!</definedName>
    <definedName name="pmfor" localSheetId="22">#REF!</definedName>
    <definedName name="pmfor" localSheetId="23">#REF!</definedName>
    <definedName name="pmfor" localSheetId="16">#REF!</definedName>
    <definedName name="pmfor" localSheetId="19">#REF!</definedName>
    <definedName name="pmfor" localSheetId="24">#REF!</definedName>
    <definedName name="pmfor" localSheetId="25">#REF!</definedName>
    <definedName name="pmfor" localSheetId="17">#REF!</definedName>
    <definedName name="pmfor" localSheetId="11">#REF!</definedName>
    <definedName name="pmfor">#REF!</definedName>
    <definedName name="pmytd" localSheetId="27">#REF!</definedName>
    <definedName name="pmytd" localSheetId="29">#REF!</definedName>
    <definedName name="pmytd" localSheetId="30">#REF!</definedName>
    <definedName name="pmytd" localSheetId="36">#REF!</definedName>
    <definedName name="pmytd" localSheetId="1">#REF!</definedName>
    <definedName name="pmytd" localSheetId="37">#REF!</definedName>
    <definedName name="pmytd" localSheetId="2">#REF!</definedName>
    <definedName name="pmytd" localSheetId="38">#REF!</definedName>
    <definedName name="pmytd" localSheetId="40">#REF!</definedName>
    <definedName name="pmytd" localSheetId="4">#REF!</definedName>
    <definedName name="pmytd" localSheetId="39">#REF!</definedName>
    <definedName name="pmytd" localSheetId="41">#REF!</definedName>
    <definedName name="pmytd" localSheetId="6">#REF!</definedName>
    <definedName name="pmytd" localSheetId="12">#REF!</definedName>
    <definedName name="pmytd" localSheetId="18">#REF!</definedName>
    <definedName name="pmytd" localSheetId="13">#REF!</definedName>
    <definedName name="pmytd" localSheetId="20">#REF!</definedName>
    <definedName name="pmytd" localSheetId="21">#REF!</definedName>
    <definedName name="pmytd" localSheetId="14">#REF!</definedName>
    <definedName name="pmytd" localSheetId="15">#REF!</definedName>
    <definedName name="pmytd" localSheetId="22">#REF!</definedName>
    <definedName name="pmytd" localSheetId="23">#REF!</definedName>
    <definedName name="pmytd" localSheetId="16">#REF!</definedName>
    <definedName name="pmytd" localSheetId="19">#REF!</definedName>
    <definedName name="pmytd" localSheetId="24">#REF!</definedName>
    <definedName name="pmytd" localSheetId="25">#REF!</definedName>
    <definedName name="pmytd" localSheetId="17">#REF!</definedName>
    <definedName name="pmytd" localSheetId="11">#REF!</definedName>
    <definedName name="pmytd">#REF!</definedName>
    <definedName name="pmytdgoal" localSheetId="36">#REF!</definedName>
    <definedName name="pmytdgoal" localSheetId="1">#REF!</definedName>
    <definedName name="pmytdgoal" localSheetId="37">#REF!</definedName>
    <definedName name="pmytdgoal" localSheetId="2">#REF!</definedName>
    <definedName name="pmytdgoal" localSheetId="38">#REF!</definedName>
    <definedName name="pmytdgoal" localSheetId="40">#REF!</definedName>
    <definedName name="pmytdgoal" localSheetId="4">#REF!</definedName>
    <definedName name="pmytdgoal" localSheetId="39">#REF!</definedName>
    <definedName name="pmytdgoal" localSheetId="41">#REF!</definedName>
    <definedName name="pmytdgoal" localSheetId="6">#REF!</definedName>
    <definedName name="pmytdgoal" localSheetId="12">#REF!</definedName>
    <definedName name="pmytdgoal" localSheetId="18">#REF!</definedName>
    <definedName name="pmytdgoal" localSheetId="13">#REF!</definedName>
    <definedName name="pmytdgoal" localSheetId="20">#REF!</definedName>
    <definedName name="pmytdgoal" localSheetId="21">#REF!</definedName>
    <definedName name="pmytdgoal" localSheetId="14">#REF!</definedName>
    <definedName name="pmytdgoal" localSheetId="15">#REF!</definedName>
    <definedName name="pmytdgoal" localSheetId="22">#REF!</definedName>
    <definedName name="pmytdgoal" localSheetId="23">#REF!</definedName>
    <definedName name="pmytdgoal" localSheetId="16">#REF!</definedName>
    <definedName name="pmytdgoal" localSheetId="19">#REF!</definedName>
    <definedName name="pmytdgoal" localSheetId="24">#REF!</definedName>
    <definedName name="pmytdgoal" localSheetId="25">#REF!</definedName>
    <definedName name="pmytdgoal" localSheetId="17">#REF!</definedName>
    <definedName name="pmytdgoal" localSheetId="11">#REF!</definedName>
    <definedName name="pmytdgoal">#REF!</definedName>
    <definedName name="pr" localSheetId="37"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int_ad" localSheetId="36">#REF!</definedName>
    <definedName name="print_ad" localSheetId="1">#REF!</definedName>
    <definedName name="print_ad" localSheetId="37">#REF!</definedName>
    <definedName name="print_ad" localSheetId="2">#REF!</definedName>
    <definedName name="print_ad" localSheetId="38">#REF!</definedName>
    <definedName name="print_ad" localSheetId="40">#REF!</definedName>
    <definedName name="print_ad" localSheetId="4">#REF!</definedName>
    <definedName name="print_ad" localSheetId="39">#REF!</definedName>
    <definedName name="print_ad" localSheetId="41">#REF!</definedName>
    <definedName name="print_ad" localSheetId="6">#REF!</definedName>
    <definedName name="print_ad" localSheetId="12">#REF!</definedName>
    <definedName name="print_ad" localSheetId="18">#REF!</definedName>
    <definedName name="print_ad" localSheetId="13">#REF!</definedName>
    <definedName name="print_ad" localSheetId="20">#REF!</definedName>
    <definedName name="print_ad" localSheetId="21">#REF!</definedName>
    <definedName name="print_ad" localSheetId="14">#REF!</definedName>
    <definedName name="print_ad" localSheetId="15">#REF!</definedName>
    <definedName name="print_ad" localSheetId="22">#REF!</definedName>
    <definedName name="print_ad" localSheetId="23">#REF!</definedName>
    <definedName name="print_ad" localSheetId="16">#REF!</definedName>
    <definedName name="print_ad" localSheetId="19">#REF!</definedName>
    <definedName name="print_ad" localSheetId="24">#REF!</definedName>
    <definedName name="print_ad" localSheetId="25">#REF!</definedName>
    <definedName name="print_ad" localSheetId="10">'[4]2005 CLP Table D - Marketing'!$B$7:$B$54</definedName>
    <definedName name="print_ad" localSheetId="17">#REF!</definedName>
    <definedName name="print_ad" localSheetId="11">#REF!</definedName>
    <definedName name="print_ad">#REF!</definedName>
    <definedName name="_xlnm.Print_Area" localSheetId="9">' 2021 - 2024 Comb Revenues A2'!$E$2:$M$35</definedName>
    <definedName name="_xlnm.Print_Area" localSheetId="0">' 2022 - 2024 Combined Table A1'!$C$1:$W$59</definedName>
    <definedName name="_xlnm.Print_Area" localSheetId="27">'2014-24 ES CT E Table D1-kW'!$D$1:$J$30</definedName>
    <definedName name="_xlnm.Print_Area" localSheetId="29">'2014-24 ESCTETable D3-lftimekWh'!$D$2:$J$23</definedName>
    <definedName name="_xlnm.Print_Area" localSheetId="32">'2014-24 ESCTETable D6-annualkWh'!$E$1:$K$25</definedName>
    <definedName name="_xlnm.Print_Area" localSheetId="33">'2014-24 ESCTETable D7-lftimekWh'!$D$1:$J$63</definedName>
    <definedName name="_xlnm.Print_Area" localSheetId="30">'2014-24 Table D4 Units '!$D$2:$J$41</definedName>
    <definedName name="_xlnm.Print_Area" localSheetId="26">'2014-25 ES CT E Table D-$'!$D$2:$J$62</definedName>
    <definedName name="_xlnm.Print_Area" localSheetId="31">'2014-25 ES CT E Table D5-kW'!$D$1:$J$48</definedName>
    <definedName name="_xlnm.Print_Area" localSheetId="28">'2014-25 ESCTETable D2-annualkWh'!$D$1:$J$24</definedName>
    <definedName name="_xlnm.Print_Area" localSheetId="34">'2019-24 ESCTETableD8AnnMMBTU'!$D$1:$D$24</definedName>
    <definedName name="_xlnm.Print_Area" localSheetId="35">'2019-24 ESCTETableD9LifMMBTU'!$D$1:$D$24</definedName>
    <definedName name="_xlnm.Print_Area" localSheetId="36">'2021 ES CT PMI'!$B$2:$M$115</definedName>
    <definedName name="_xlnm.Print_Area" localSheetId="1">'2021 Joint Table A1 Pies'!$B$2:$J$48</definedName>
    <definedName name="_xlnm.Print_Area" localSheetId="37">'2022 ES CT PMI'!$B$2:$N$123</definedName>
    <definedName name="_xlnm.Print_Area" localSheetId="2">'2022 Joint Table A1 Pies '!$B$2:$J$48</definedName>
    <definedName name="_xlnm.Print_Area" localSheetId="8">'2022-2025 Comb Revenues'!$E$2:$M$35</definedName>
    <definedName name="_xlnm.Print_Area" localSheetId="38">'2023 ES CT PMI'!$B$2:$N$123</definedName>
    <definedName name="_xlnm.Print_Area" localSheetId="40">'2023 ES CT PMI  Old'!$B$2:$M$117</definedName>
    <definedName name="_xlnm.Print_Area" localSheetId="4">'2023 Joint Table A1 Pies'!$B$2:$J$48</definedName>
    <definedName name="_xlnm.Print_Area" localSheetId="39">'2024 ES CT PMI'!$B$2:$N$123</definedName>
    <definedName name="_xlnm.Print_Area" localSheetId="41">'2024 ES CT PMI Old'!$B$2:$M$117</definedName>
    <definedName name="_xlnm.Print_Area" localSheetId="6">'2024 Joint Table A1 Pies '!$B$2:$J$48</definedName>
    <definedName name="_xlnm.Print_Area" localSheetId="12">'ES CT Electric 2021 Table A Pie'!$B$2:$O$48</definedName>
    <definedName name="_xlnm.Print_Area" localSheetId="18">'ES CT Electric 2021 Table C Pie'!$B$2:$F$47</definedName>
    <definedName name="_xlnm.Print_Area" localSheetId="13">'ES CT Electric 2022 Table A Pie'!$B$2:$O$49</definedName>
    <definedName name="_xlnm.Print_Area" localSheetId="20">'ES CT Electric 2022 Table C '!$D$2:$M$52</definedName>
    <definedName name="_xlnm.Print_Area" localSheetId="21">'ES CT Electric 2022 Table C Pie'!$B$2:$F$47</definedName>
    <definedName name="_xlnm.Print_Area" localSheetId="14">'ES CT Electric 2023 Table A Pie'!$B$2:$O$49</definedName>
    <definedName name="_xlnm.Print_Area" localSheetId="15">'ES CT Electric 2023 Table A-R'!$B$2:$O$49</definedName>
    <definedName name="_xlnm.Print_Area" localSheetId="22">'ES CT Electric 2023 Table C '!$D$2:$M$52</definedName>
    <definedName name="_xlnm.Print_Area" localSheetId="23">'ES CT Electric 2023 Table C Pie'!$B$2:$F$47</definedName>
    <definedName name="_xlnm.Print_Area" localSheetId="16">'ES CT Electric 2024 Table A Pie'!$B$2:$O$49</definedName>
    <definedName name="_xlnm.Print_Area" localSheetId="19">'ES CT Electric 2024 Table A-R'!$B$2:$O$49</definedName>
    <definedName name="_xlnm.Print_Area" localSheetId="24">'ES CT Electric 2024 Table C '!$D$2:$M$52</definedName>
    <definedName name="_xlnm.Print_Area" localSheetId="25">'ES CT Electric 2024 Table C Pie'!$B$2:$F$47</definedName>
    <definedName name="_xlnm.Print_Area" localSheetId="10">'ES CT Electric Table A  '!$D$2:$P$54</definedName>
    <definedName name="_xlnm.Print_Area" localSheetId="17">'ES CT Electric Table C 2021'!$D$2:$M$52</definedName>
    <definedName name="_xlnm.Print_Area" localSheetId="11">'Table A Pie Sector Alloc2022-25'!$A$1:$N$33</definedName>
    <definedName name="_xlnm.Print_Titles" localSheetId="36">'2021 ES CT PMI'!$26:$27</definedName>
    <definedName name="_xlnm.Print_Titles" localSheetId="37">'2022 ES CT PMI'!$26:$27</definedName>
    <definedName name="_xlnm.Print_Titles" localSheetId="38">'2023 ES CT PMI'!$26:$27</definedName>
    <definedName name="_xlnm.Print_Titles" localSheetId="40">'2023 ES CT PMI  Old'!$26:$27</definedName>
    <definedName name="_xlnm.Print_Titles" localSheetId="39">'2024 ES CT PMI'!$26:$27</definedName>
    <definedName name="_xlnm.Print_Titles" localSheetId="41">'2024 ES CT PMI Old'!$26:$27</definedName>
    <definedName name="_xlnm.Print_Titles" localSheetId="10">'ES CT Electric Table A  '!$D:$D</definedName>
    <definedName name="pro_budget_2006" localSheetId="36">'[1]CLP Table A  '!$O$11:$O$80</definedName>
    <definedName name="pro_budget_2006" localSheetId="1">'ES CT Electric Table A  '!#REF!</definedName>
    <definedName name="pro_budget_2006" localSheetId="37">'[1]CLP Table A  '!$O$11:$O$80</definedName>
    <definedName name="pro_budget_2006" localSheetId="2">'ES CT Electric Table A  '!#REF!</definedName>
    <definedName name="pro_budget_2006" localSheetId="38">'[1]CLP Table A  '!$O$11:$O$80</definedName>
    <definedName name="pro_budget_2006" localSheetId="40">'[1]CLP Table A  '!$O$11:$O$80</definedName>
    <definedName name="pro_budget_2006" localSheetId="4">'ES CT Electric Table A  '!#REF!</definedName>
    <definedName name="pro_budget_2006" localSheetId="39">'[1]CLP Table A  '!$O$11:$O$80</definedName>
    <definedName name="pro_budget_2006" localSheetId="41">'[1]CLP Table A  '!$O$11:$O$80</definedName>
    <definedName name="pro_budget_2006" localSheetId="6">'ES CT Electric Table A  '!#REF!</definedName>
    <definedName name="pro_budget_2006" localSheetId="12">'ES CT Electric Table A  '!#REF!</definedName>
    <definedName name="pro_budget_2006" localSheetId="18">'ES CT Electric Table A  '!#REF!</definedName>
    <definedName name="pro_budget_2006" localSheetId="13">'ES CT Electric Table A  '!#REF!</definedName>
    <definedName name="pro_budget_2006" localSheetId="20">#REF!</definedName>
    <definedName name="pro_budget_2006" localSheetId="21">'ES CT Electric Table A  '!#REF!</definedName>
    <definedName name="pro_budget_2006" localSheetId="14">'ES CT Electric Table A  '!#REF!</definedName>
    <definedName name="pro_budget_2006" localSheetId="15">'ES CT Electric Table A  '!#REF!</definedName>
    <definedName name="pro_budget_2006" localSheetId="22">#REF!</definedName>
    <definedName name="pro_budget_2006" localSheetId="23">'ES CT Electric Table A  '!#REF!</definedName>
    <definedName name="pro_budget_2006" localSheetId="16">'ES CT Electric Table A  '!#REF!</definedName>
    <definedName name="pro_budget_2006" localSheetId="19">'ES CT Electric Table A  '!#REF!</definedName>
    <definedName name="pro_budget_2006" localSheetId="24">#REF!</definedName>
    <definedName name="pro_budget_2006" localSheetId="25">'ES CT Electric Table A  '!#REF!</definedName>
    <definedName name="pro_budget_2006" localSheetId="17">#REF!</definedName>
    <definedName name="pro_budget_2006" localSheetId="11">'[2]CLM Programs'!#REF!</definedName>
    <definedName name="pro_budget_2006">#REF!</definedName>
    <definedName name="program_name" localSheetId="1">'[8]Title Page'!$B$33</definedName>
    <definedName name="program_name" localSheetId="2">'[8]Title Page'!$B$33</definedName>
    <definedName name="program_name" localSheetId="4">'[8]Title Page'!$B$33</definedName>
    <definedName name="program_name" localSheetId="6">'[8]Title Page'!$B$33</definedName>
    <definedName name="program_name" localSheetId="12">'[8]Title Page'!$B$33</definedName>
    <definedName name="program_name" localSheetId="13">'[8]Title Page'!$B$33</definedName>
    <definedName name="program_name" localSheetId="14">'[8]Title Page'!$B$33</definedName>
    <definedName name="program_name" localSheetId="15">'[8]Title Page'!$B$33</definedName>
    <definedName name="program_name" localSheetId="16">'[8]Title Page'!$B$33</definedName>
    <definedName name="program_name" localSheetId="19">'[8]Title Page'!$B$33</definedName>
    <definedName name="program_name" localSheetId="11">'[8]Title Page'!$B$33</definedName>
    <definedName name="program_name">'[9]Title Page'!$B$33</definedName>
    <definedName name="public_relation" localSheetId="36">#REF!</definedName>
    <definedName name="public_relation" localSheetId="1">#REF!</definedName>
    <definedName name="public_relation" localSheetId="37">#REF!</definedName>
    <definedName name="public_relation" localSheetId="2">#REF!</definedName>
    <definedName name="public_relation" localSheetId="38">#REF!</definedName>
    <definedName name="public_relation" localSheetId="40">#REF!</definedName>
    <definedName name="public_relation" localSheetId="4">#REF!</definedName>
    <definedName name="public_relation" localSheetId="39">#REF!</definedName>
    <definedName name="public_relation" localSheetId="41">#REF!</definedName>
    <definedName name="public_relation" localSheetId="6">#REF!</definedName>
    <definedName name="public_relation" localSheetId="12">#REF!</definedName>
    <definedName name="public_relation" localSheetId="18">#REF!</definedName>
    <definedName name="public_relation" localSheetId="13">#REF!</definedName>
    <definedName name="public_relation" localSheetId="20">#REF!</definedName>
    <definedName name="public_relation" localSheetId="21">#REF!</definedName>
    <definedName name="public_relation" localSheetId="14">#REF!</definedName>
    <definedName name="public_relation" localSheetId="15">#REF!</definedName>
    <definedName name="public_relation" localSheetId="22">#REF!</definedName>
    <definedName name="public_relation" localSheetId="23">#REF!</definedName>
    <definedName name="public_relation" localSheetId="16">#REF!</definedName>
    <definedName name="public_relation" localSheetId="19">#REF!</definedName>
    <definedName name="public_relation" localSheetId="24">#REF!</definedName>
    <definedName name="public_relation" localSheetId="25">#REF!</definedName>
    <definedName name="public_relation" localSheetId="10">'[4]2005 CLP Table D - Marketing'!$E$7:$E$54</definedName>
    <definedName name="public_relation" localSheetId="17">#REF!</definedName>
    <definedName name="public_relation" localSheetId="11">#REF!</definedName>
    <definedName name="public_relation">#REF!</definedName>
    <definedName name="Resi_Dollars_per_kW" localSheetId="36">'[5]EB $'!#REF!</definedName>
    <definedName name="Resi_Dollars_per_kW" localSheetId="1">'[5]EB $'!#REF!</definedName>
    <definedName name="Resi_Dollars_per_kW" localSheetId="37">'[5]EB $'!#REF!</definedName>
    <definedName name="Resi_Dollars_per_kW" localSheetId="2">'[5]EB $'!#REF!</definedName>
    <definedName name="Resi_Dollars_per_kW" localSheetId="38">'[5]EB $'!#REF!</definedName>
    <definedName name="Resi_Dollars_per_kW" localSheetId="40">'[5]EB $'!#REF!</definedName>
    <definedName name="Resi_Dollars_per_kW" localSheetId="4">'[5]EB $'!#REF!</definedName>
    <definedName name="Resi_Dollars_per_kW" localSheetId="39">'[5]EB $'!#REF!</definedName>
    <definedName name="Resi_Dollars_per_kW" localSheetId="41">'[5]EB $'!#REF!</definedName>
    <definedName name="Resi_Dollars_per_kW" localSheetId="6">'[5]EB $'!#REF!</definedName>
    <definedName name="Resi_Dollars_per_kW" localSheetId="12">'[5]EB $'!#REF!</definedName>
    <definedName name="Resi_Dollars_per_kW" localSheetId="18">'[5]EB $'!#REF!</definedName>
    <definedName name="Resi_Dollars_per_kW" localSheetId="13">'[5]EB $'!#REF!</definedName>
    <definedName name="Resi_Dollars_per_kW" localSheetId="20">'[5]EB $'!#REF!</definedName>
    <definedName name="Resi_Dollars_per_kW" localSheetId="21">'[5]EB $'!#REF!</definedName>
    <definedName name="Resi_Dollars_per_kW" localSheetId="14">'[5]EB $'!#REF!</definedName>
    <definedName name="Resi_Dollars_per_kW" localSheetId="15">'[5]EB $'!#REF!</definedName>
    <definedName name="Resi_Dollars_per_kW" localSheetId="22">'[5]EB $'!#REF!</definedName>
    <definedName name="Resi_Dollars_per_kW" localSheetId="23">'[5]EB $'!#REF!</definedName>
    <definedName name="Resi_Dollars_per_kW" localSheetId="16">'[5]EB $'!#REF!</definedName>
    <definedName name="Resi_Dollars_per_kW" localSheetId="19">'[5]EB $'!#REF!</definedName>
    <definedName name="Resi_Dollars_per_kW" localSheetId="24">'[5]EB $'!#REF!</definedName>
    <definedName name="Resi_Dollars_per_kW" localSheetId="25">'[5]EB $'!#REF!</definedName>
    <definedName name="Resi_Dollars_per_kW" localSheetId="17">'[5]EB $'!#REF!</definedName>
    <definedName name="Resi_Dollars_per_kW">'[5]EB $'!#REF!</definedName>
    <definedName name="Resi_Dollars_Per_kWh" localSheetId="36">'[5]EB $'!#REF!</definedName>
    <definedName name="Resi_Dollars_Per_kWh" localSheetId="1">'[5]EB $'!#REF!</definedName>
    <definedName name="Resi_Dollars_Per_kWh" localSheetId="37">'[5]EB $'!#REF!</definedName>
    <definedName name="Resi_Dollars_Per_kWh" localSheetId="2">'[5]EB $'!#REF!</definedName>
    <definedName name="Resi_Dollars_Per_kWh" localSheetId="38">'[5]EB $'!#REF!</definedName>
    <definedName name="Resi_Dollars_Per_kWh" localSheetId="40">'[5]EB $'!#REF!</definedName>
    <definedName name="Resi_Dollars_Per_kWh" localSheetId="4">'[5]EB $'!#REF!</definedName>
    <definedName name="Resi_Dollars_Per_kWh" localSheetId="39">'[5]EB $'!#REF!</definedName>
    <definedName name="Resi_Dollars_Per_kWh" localSheetId="41">'[5]EB $'!#REF!</definedName>
    <definedName name="Resi_Dollars_Per_kWh" localSheetId="6">'[5]EB $'!#REF!</definedName>
    <definedName name="Resi_Dollars_Per_kWh" localSheetId="12">'[5]EB $'!#REF!</definedName>
    <definedName name="Resi_Dollars_Per_kWh" localSheetId="18">'[5]EB $'!#REF!</definedName>
    <definedName name="Resi_Dollars_Per_kWh" localSheetId="13">'[5]EB $'!#REF!</definedName>
    <definedName name="Resi_Dollars_Per_kWh" localSheetId="20">'[5]EB $'!#REF!</definedName>
    <definedName name="Resi_Dollars_Per_kWh" localSheetId="21">'[5]EB $'!#REF!</definedName>
    <definedName name="Resi_Dollars_Per_kWh" localSheetId="14">'[5]EB $'!#REF!</definedName>
    <definedName name="Resi_Dollars_Per_kWh" localSheetId="15">'[5]EB $'!#REF!</definedName>
    <definedName name="Resi_Dollars_Per_kWh" localSheetId="22">'[5]EB $'!#REF!</definedName>
    <definedName name="Resi_Dollars_Per_kWh" localSheetId="23">'[5]EB $'!#REF!</definedName>
    <definedName name="Resi_Dollars_Per_kWh" localSheetId="16">'[5]EB $'!#REF!</definedName>
    <definedName name="Resi_Dollars_Per_kWh" localSheetId="19">'[5]EB $'!#REF!</definedName>
    <definedName name="Resi_Dollars_Per_kWh" localSheetId="24">'[5]EB $'!#REF!</definedName>
    <definedName name="Resi_Dollars_Per_kWh" localSheetId="25">'[5]EB $'!#REF!</definedName>
    <definedName name="Resi_Dollars_Per_kWh" localSheetId="17">'[5]EB $'!#REF!</definedName>
    <definedName name="Resi_Dollars_Per_kWh">'[5]EB $'!#REF!</definedName>
    <definedName name="RORD">[10]ROR!$A$2:$O$201</definedName>
    <definedName name="rpytdgoal" localSheetId="36">#REF!</definedName>
    <definedName name="rpytdgoal" localSheetId="1">#REF!</definedName>
    <definedName name="rpytdgoal" localSheetId="37">#REF!</definedName>
    <definedName name="rpytdgoal" localSheetId="2">#REF!</definedName>
    <definedName name="rpytdgoal" localSheetId="38">#REF!</definedName>
    <definedName name="rpytdgoal" localSheetId="40">#REF!</definedName>
    <definedName name="rpytdgoal" localSheetId="4">#REF!</definedName>
    <definedName name="rpytdgoal" localSheetId="39">#REF!</definedName>
    <definedName name="rpytdgoal" localSheetId="41">#REF!</definedName>
    <definedName name="rpytdgoal" localSheetId="6">#REF!</definedName>
    <definedName name="rpytdgoal" localSheetId="12">#REF!</definedName>
    <definedName name="rpytdgoal" localSheetId="18">#REF!</definedName>
    <definedName name="rpytdgoal" localSheetId="13">#REF!</definedName>
    <definedName name="rpytdgoal" localSheetId="20">#REF!</definedName>
    <definedName name="rpytdgoal" localSheetId="21">#REF!</definedName>
    <definedName name="rpytdgoal" localSheetId="14">#REF!</definedName>
    <definedName name="rpytdgoal" localSheetId="15">#REF!</definedName>
    <definedName name="rpytdgoal" localSheetId="22">#REF!</definedName>
    <definedName name="rpytdgoal" localSheetId="23">#REF!</definedName>
    <definedName name="rpytdgoal" localSheetId="16">#REF!</definedName>
    <definedName name="rpytdgoal" localSheetId="19">#REF!</definedName>
    <definedName name="rpytdgoal" localSheetId="24">#REF!</definedName>
    <definedName name="rpytdgoal" localSheetId="25">#REF!</definedName>
    <definedName name="rpytdgoal" localSheetId="17">#REF!</definedName>
    <definedName name="rpytdgoal" localSheetId="11">#REF!</definedName>
    <definedName name="rpytdgoal">#REF!</definedName>
    <definedName name="rrytd" localSheetId="27">#REF!</definedName>
    <definedName name="rrytd" localSheetId="29">#REF!</definedName>
    <definedName name="rrytd" localSheetId="30">#REF!</definedName>
    <definedName name="rrytd" localSheetId="36">#REF!</definedName>
    <definedName name="rrytd" localSheetId="1">#REF!</definedName>
    <definedName name="rrytd" localSheetId="37">#REF!</definedName>
    <definedName name="rrytd" localSheetId="2">#REF!</definedName>
    <definedName name="rrytd" localSheetId="38">#REF!</definedName>
    <definedName name="rrytd" localSheetId="40">#REF!</definedName>
    <definedName name="rrytd" localSheetId="4">#REF!</definedName>
    <definedName name="rrytd" localSheetId="39">#REF!</definedName>
    <definedName name="rrytd" localSheetId="41">#REF!</definedName>
    <definedName name="rrytd" localSheetId="6">#REF!</definedName>
    <definedName name="rrytd" localSheetId="12">#REF!</definedName>
    <definedName name="rrytd" localSheetId="18">#REF!</definedName>
    <definedName name="rrytd" localSheetId="13">#REF!</definedName>
    <definedName name="rrytd" localSheetId="20">#REF!</definedName>
    <definedName name="rrytd" localSheetId="21">#REF!</definedName>
    <definedName name="rrytd" localSheetId="14">#REF!</definedName>
    <definedName name="rrytd" localSheetId="15">#REF!</definedName>
    <definedName name="rrytd" localSheetId="22">#REF!</definedName>
    <definedName name="rrytd" localSheetId="23">#REF!</definedName>
    <definedName name="rrytd" localSheetId="16">#REF!</definedName>
    <definedName name="rrytd" localSheetId="19">#REF!</definedName>
    <definedName name="rrytd" localSheetId="24">#REF!</definedName>
    <definedName name="rrytd" localSheetId="25">#REF!</definedName>
    <definedName name="rrytd" localSheetId="17">#REF!</definedName>
    <definedName name="rrytd" localSheetId="11">#REF!</definedName>
    <definedName name="rrytd">#REF!</definedName>
    <definedName name="rrytdgoal" localSheetId="36">#REF!</definedName>
    <definedName name="rrytdgoal" localSheetId="1">#REF!</definedName>
    <definedName name="rrytdgoal" localSheetId="37">#REF!</definedName>
    <definedName name="rrytdgoal" localSheetId="2">#REF!</definedName>
    <definedName name="rrytdgoal" localSheetId="38">#REF!</definedName>
    <definedName name="rrytdgoal" localSheetId="40">#REF!</definedName>
    <definedName name="rrytdgoal" localSheetId="4">#REF!</definedName>
    <definedName name="rrytdgoal" localSheetId="39">#REF!</definedName>
    <definedName name="rrytdgoal" localSheetId="41">#REF!</definedName>
    <definedName name="rrytdgoal" localSheetId="6">#REF!</definedName>
    <definedName name="rrytdgoal" localSheetId="12">#REF!</definedName>
    <definedName name="rrytdgoal" localSheetId="18">#REF!</definedName>
    <definedName name="rrytdgoal" localSheetId="13">#REF!</definedName>
    <definedName name="rrytdgoal" localSheetId="20">#REF!</definedName>
    <definedName name="rrytdgoal" localSheetId="21">#REF!</definedName>
    <definedName name="rrytdgoal" localSheetId="14">#REF!</definedName>
    <definedName name="rrytdgoal" localSheetId="15">#REF!</definedName>
    <definedName name="rrytdgoal" localSheetId="22">#REF!</definedName>
    <definedName name="rrytdgoal" localSheetId="23">#REF!</definedName>
    <definedName name="rrytdgoal" localSheetId="16">#REF!</definedName>
    <definedName name="rrytdgoal" localSheetId="19">#REF!</definedName>
    <definedName name="rrytdgoal" localSheetId="24">#REF!</definedName>
    <definedName name="rrytdgoal" localSheetId="25">#REF!</definedName>
    <definedName name="rrytdgoal" localSheetId="17">#REF!</definedName>
    <definedName name="rrytdgoal" localSheetId="11">#REF!</definedName>
    <definedName name="rrytdgoal">#REF!</definedName>
    <definedName name="sbytd" localSheetId="27">#REF!</definedName>
    <definedName name="sbytd" localSheetId="29">#REF!</definedName>
    <definedName name="sbytd" localSheetId="30">#REF!</definedName>
    <definedName name="sbytd" localSheetId="36">#REF!</definedName>
    <definedName name="sbytd" localSheetId="1">#REF!</definedName>
    <definedName name="sbytd" localSheetId="37">#REF!</definedName>
    <definedName name="sbytd" localSheetId="2">#REF!</definedName>
    <definedName name="sbytd" localSheetId="38">#REF!</definedName>
    <definedName name="sbytd" localSheetId="40">#REF!</definedName>
    <definedName name="sbytd" localSheetId="4">#REF!</definedName>
    <definedName name="sbytd" localSheetId="39">#REF!</definedName>
    <definedName name="sbytd" localSheetId="41">#REF!</definedName>
    <definedName name="sbytd" localSheetId="6">#REF!</definedName>
    <definedName name="sbytd" localSheetId="12">#REF!</definedName>
    <definedName name="sbytd" localSheetId="18">#REF!</definedName>
    <definedName name="sbytd" localSheetId="13">#REF!</definedName>
    <definedName name="sbytd" localSheetId="20">#REF!</definedName>
    <definedName name="sbytd" localSheetId="21">#REF!</definedName>
    <definedName name="sbytd" localSheetId="14">#REF!</definedName>
    <definedName name="sbytd" localSheetId="15">#REF!</definedName>
    <definedName name="sbytd" localSheetId="22">#REF!</definedName>
    <definedName name="sbytd" localSheetId="23">#REF!</definedName>
    <definedName name="sbytd" localSheetId="16">#REF!</definedName>
    <definedName name="sbytd" localSheetId="19">#REF!</definedName>
    <definedName name="sbytd" localSheetId="24">#REF!</definedName>
    <definedName name="sbytd" localSheetId="25">#REF!</definedName>
    <definedName name="sbytd" localSheetId="17">#REF!</definedName>
    <definedName name="sbytd" localSheetId="11">#REF!</definedName>
    <definedName name="sbytd">#REF!</definedName>
    <definedName name="sbytdgoal" localSheetId="36">#REF!</definedName>
    <definedName name="sbytdgoal" localSheetId="1">#REF!</definedName>
    <definedName name="sbytdgoal" localSheetId="37">#REF!</definedName>
    <definedName name="sbytdgoal" localSheetId="2">#REF!</definedName>
    <definedName name="sbytdgoal" localSheetId="38">#REF!</definedName>
    <definedName name="sbytdgoal" localSheetId="40">#REF!</definedName>
    <definedName name="sbytdgoal" localSheetId="4">#REF!</definedName>
    <definedName name="sbytdgoal" localSheetId="39">#REF!</definedName>
    <definedName name="sbytdgoal" localSheetId="41">#REF!</definedName>
    <definedName name="sbytdgoal" localSheetId="6">#REF!</definedName>
    <definedName name="sbytdgoal" localSheetId="12">#REF!</definedName>
    <definedName name="sbytdgoal" localSheetId="18">#REF!</definedName>
    <definedName name="sbytdgoal" localSheetId="13">#REF!</definedName>
    <definedName name="sbytdgoal" localSheetId="20">#REF!</definedName>
    <definedName name="sbytdgoal" localSheetId="21">#REF!</definedName>
    <definedName name="sbytdgoal" localSheetId="14">#REF!</definedName>
    <definedName name="sbytdgoal" localSheetId="15">#REF!</definedName>
    <definedName name="sbytdgoal" localSheetId="22">#REF!</definedName>
    <definedName name="sbytdgoal" localSheetId="23">#REF!</definedName>
    <definedName name="sbytdgoal" localSheetId="16">#REF!</definedName>
    <definedName name="sbytdgoal" localSheetId="19">#REF!</definedName>
    <definedName name="sbytdgoal" localSheetId="24">#REF!</definedName>
    <definedName name="sbytdgoal" localSheetId="25">#REF!</definedName>
    <definedName name="sbytdgoal" localSheetId="17">#REF!</definedName>
    <definedName name="sbytdgoal" localSheetId="11">#REF!</definedName>
    <definedName name="sbytdgoal">#REF!</definedName>
    <definedName name="tableA_Budget_3_8_05" localSheetId="36">'[1]CLP Table A  '!$N$11:$N$80</definedName>
    <definedName name="tableA_Budget_3_8_05" localSheetId="1">'ES CT Electric Table A  '!#REF!</definedName>
    <definedName name="tableA_Budget_3_8_05" localSheetId="37">'[1]CLP Table A  '!$N$11:$N$80</definedName>
    <definedName name="tableA_Budget_3_8_05" localSheetId="2">'ES CT Electric Table A  '!#REF!</definedName>
    <definedName name="tableA_Budget_3_8_05" localSheetId="38">'[1]CLP Table A  '!$N$11:$N$80</definedName>
    <definedName name="tableA_Budget_3_8_05" localSheetId="40">'[1]CLP Table A  '!$N$11:$N$80</definedName>
    <definedName name="tableA_Budget_3_8_05" localSheetId="4">'ES CT Electric Table A  '!#REF!</definedName>
    <definedName name="tableA_Budget_3_8_05" localSheetId="39">'[1]CLP Table A  '!$N$11:$N$80</definedName>
    <definedName name="tableA_Budget_3_8_05" localSheetId="41">'[1]CLP Table A  '!$N$11:$N$80</definedName>
    <definedName name="tableA_Budget_3_8_05" localSheetId="6">'ES CT Electric Table A  '!#REF!</definedName>
    <definedName name="tableA_Budget_3_8_05" localSheetId="12">'ES CT Electric Table A  '!#REF!</definedName>
    <definedName name="tableA_Budget_3_8_05" localSheetId="18">'ES CT Electric Table A  '!#REF!</definedName>
    <definedName name="tableA_Budget_3_8_05" localSheetId="13">'ES CT Electric Table A  '!#REF!</definedName>
    <definedName name="tableA_Budget_3_8_05" localSheetId="20">#REF!</definedName>
    <definedName name="tableA_Budget_3_8_05" localSheetId="21">'ES CT Electric Table A  '!#REF!</definedName>
    <definedName name="tableA_Budget_3_8_05" localSheetId="14">'ES CT Electric Table A  '!#REF!</definedName>
    <definedName name="tableA_Budget_3_8_05" localSheetId="15">'ES CT Electric Table A  '!#REF!</definedName>
    <definedName name="tableA_Budget_3_8_05" localSheetId="22">#REF!</definedName>
    <definedName name="tableA_Budget_3_8_05" localSheetId="23">'ES CT Electric Table A  '!#REF!</definedName>
    <definedName name="tableA_Budget_3_8_05" localSheetId="16">'ES CT Electric Table A  '!#REF!</definedName>
    <definedName name="tableA_Budget_3_8_05" localSheetId="19">'ES CT Electric Table A  '!#REF!</definedName>
    <definedName name="tableA_Budget_3_8_05" localSheetId="24">#REF!</definedName>
    <definedName name="tableA_Budget_3_8_05" localSheetId="25">'ES CT Electric Table A  '!#REF!</definedName>
    <definedName name="tableA_Budget_3_8_05" localSheetId="17">#REF!</definedName>
    <definedName name="tableA_Budget_3_8_05" localSheetId="11">'[2]CLM Programs'!#REF!</definedName>
    <definedName name="tableA_Budget_3_8_05">#REF!</definedName>
    <definedName name="TableA_DPUC_changes" localSheetId="36">'[1]CLP Table A  '!$I$11:$I$80</definedName>
    <definedName name="TableA_DPUC_changes" localSheetId="1">'ES CT Electric Table A  '!#REF!</definedName>
    <definedName name="TableA_DPUC_changes" localSheetId="37">'[1]CLP Table A  '!$I$11:$I$80</definedName>
    <definedName name="TableA_DPUC_changes" localSheetId="2">'ES CT Electric Table A  '!#REF!</definedName>
    <definedName name="TableA_DPUC_changes" localSheetId="38">'[1]CLP Table A  '!$I$11:$I$80</definedName>
    <definedName name="TableA_DPUC_changes" localSheetId="40">'[1]CLP Table A  '!$I$11:$I$80</definedName>
    <definedName name="TableA_DPUC_changes" localSheetId="4">'ES CT Electric Table A  '!#REF!</definedName>
    <definedName name="TableA_DPUC_changes" localSheetId="39">'[1]CLP Table A  '!$I$11:$I$80</definedName>
    <definedName name="TableA_DPUC_changes" localSheetId="41">'[1]CLP Table A  '!$I$11:$I$80</definedName>
    <definedName name="TableA_DPUC_changes" localSheetId="6">'ES CT Electric Table A  '!#REF!</definedName>
    <definedName name="TableA_DPUC_changes" localSheetId="12">'ES CT Electric Table A  '!#REF!</definedName>
    <definedName name="TableA_DPUC_changes" localSheetId="18">'ES CT Electric Table A  '!#REF!</definedName>
    <definedName name="TableA_DPUC_changes" localSheetId="13">'ES CT Electric Table A  '!#REF!</definedName>
    <definedName name="TableA_DPUC_changes" localSheetId="20">#REF!</definedName>
    <definedName name="TableA_DPUC_changes" localSheetId="21">'ES CT Electric Table A  '!#REF!</definedName>
    <definedName name="TableA_DPUC_changes" localSheetId="14">'ES CT Electric Table A  '!#REF!</definedName>
    <definedName name="TableA_DPUC_changes" localSheetId="15">'ES CT Electric Table A  '!#REF!</definedName>
    <definedName name="TableA_DPUC_changes" localSheetId="22">#REF!</definedName>
    <definedName name="TableA_DPUC_changes" localSheetId="23">'ES CT Electric Table A  '!#REF!</definedName>
    <definedName name="TableA_DPUC_changes" localSheetId="16">'ES CT Electric Table A  '!#REF!</definedName>
    <definedName name="TableA_DPUC_changes" localSheetId="19">'ES CT Electric Table A  '!#REF!</definedName>
    <definedName name="TableA_DPUC_changes" localSheetId="24">#REF!</definedName>
    <definedName name="TableA_DPUC_changes" localSheetId="25">'ES CT Electric Table A  '!#REF!</definedName>
    <definedName name="TableA_DPUC_changes" localSheetId="17">#REF!</definedName>
    <definedName name="TableA_DPUC_changes" localSheetId="11">'[2]CLM Programs'!#REF!</definedName>
    <definedName name="TableA_DPUC_changes">#REF!</definedName>
    <definedName name="TableA_DPUC_market_adj" localSheetId="36">'[1]CLP Table A  '!$J$11:$J$80</definedName>
    <definedName name="TableA_DPUC_market_adj" localSheetId="1">'ES CT Electric Table A  '!#REF!</definedName>
    <definedName name="TableA_DPUC_market_adj" localSheetId="37">'[1]CLP Table A  '!$J$11:$J$80</definedName>
    <definedName name="TableA_DPUC_market_adj" localSheetId="2">'ES CT Electric Table A  '!#REF!</definedName>
    <definedName name="TableA_DPUC_market_adj" localSheetId="38">'[1]CLP Table A  '!$J$11:$J$80</definedName>
    <definedName name="TableA_DPUC_market_adj" localSheetId="40">'[1]CLP Table A  '!$J$11:$J$80</definedName>
    <definedName name="TableA_DPUC_market_adj" localSheetId="4">'ES CT Electric Table A  '!#REF!</definedName>
    <definedName name="TableA_DPUC_market_adj" localSheetId="39">'[1]CLP Table A  '!$J$11:$J$80</definedName>
    <definedName name="TableA_DPUC_market_adj" localSheetId="41">'[1]CLP Table A  '!$J$11:$J$80</definedName>
    <definedName name="TableA_DPUC_market_adj" localSheetId="6">'ES CT Electric Table A  '!#REF!</definedName>
    <definedName name="TableA_DPUC_market_adj" localSheetId="12">'ES CT Electric Table A  '!#REF!</definedName>
    <definedName name="TableA_DPUC_market_adj" localSheetId="18">'ES CT Electric Table A  '!#REF!</definedName>
    <definedName name="TableA_DPUC_market_adj" localSheetId="13">'ES CT Electric Table A  '!#REF!</definedName>
    <definedName name="TableA_DPUC_market_adj" localSheetId="20">#REF!</definedName>
    <definedName name="TableA_DPUC_market_adj" localSheetId="21">'ES CT Electric Table A  '!#REF!</definedName>
    <definedName name="TableA_DPUC_market_adj" localSheetId="14">'ES CT Electric Table A  '!#REF!</definedName>
    <definedName name="TableA_DPUC_market_adj" localSheetId="15">'ES CT Electric Table A  '!#REF!</definedName>
    <definedName name="TableA_DPUC_market_adj" localSheetId="22">#REF!</definedName>
    <definedName name="TableA_DPUC_market_adj" localSheetId="23">'ES CT Electric Table A  '!#REF!</definedName>
    <definedName name="TableA_DPUC_market_adj" localSheetId="16">'ES CT Electric Table A  '!#REF!</definedName>
    <definedName name="TableA_DPUC_market_adj" localSheetId="19">'ES CT Electric Table A  '!#REF!</definedName>
    <definedName name="TableA_DPUC_market_adj" localSheetId="24">#REF!</definedName>
    <definedName name="TableA_DPUC_market_adj" localSheetId="25">'ES CT Electric Table A  '!#REF!</definedName>
    <definedName name="TableA_DPUC_market_adj" localSheetId="17">#REF!</definedName>
    <definedName name="TableA_DPUC_market_adj" localSheetId="11">'[2]CLM Programs'!#REF!</definedName>
    <definedName name="TableA_DPUC_market_adj">#REF!</definedName>
    <definedName name="tableA_Note2Alloc1mil" localSheetId="36">'[1]CLP Table A  '!$M$5:$M$80</definedName>
    <definedName name="tableA_Note2Alloc1mil" localSheetId="1">'ES CT Electric Table A  '!#REF!</definedName>
    <definedName name="tableA_Note2Alloc1mil" localSheetId="37">'[1]CLP Table A  '!$M$5:$M$80</definedName>
    <definedName name="tableA_Note2Alloc1mil" localSheetId="2">'ES CT Electric Table A  '!#REF!</definedName>
    <definedName name="tableA_Note2Alloc1mil" localSheetId="38">'[1]CLP Table A  '!$M$5:$M$80</definedName>
    <definedName name="tableA_Note2Alloc1mil" localSheetId="40">'[1]CLP Table A  '!$M$5:$M$80</definedName>
    <definedName name="tableA_Note2Alloc1mil" localSheetId="4">'ES CT Electric Table A  '!#REF!</definedName>
    <definedName name="tableA_Note2Alloc1mil" localSheetId="39">'[1]CLP Table A  '!$M$5:$M$80</definedName>
    <definedName name="tableA_Note2Alloc1mil" localSheetId="41">'[1]CLP Table A  '!$M$5:$M$80</definedName>
    <definedName name="tableA_Note2Alloc1mil" localSheetId="6">'ES CT Electric Table A  '!#REF!</definedName>
    <definedName name="tableA_Note2Alloc1mil" localSheetId="12">'ES CT Electric Table A  '!#REF!</definedName>
    <definedName name="tableA_Note2Alloc1mil" localSheetId="18">'ES CT Electric Table A  '!#REF!</definedName>
    <definedName name="tableA_Note2Alloc1mil" localSheetId="13">'ES CT Electric Table A  '!#REF!</definedName>
    <definedName name="tableA_Note2Alloc1mil" localSheetId="20">#REF!</definedName>
    <definedName name="tableA_Note2Alloc1mil" localSheetId="21">'ES CT Electric Table A  '!#REF!</definedName>
    <definedName name="tableA_Note2Alloc1mil" localSheetId="14">'ES CT Electric Table A  '!#REF!</definedName>
    <definedName name="tableA_Note2Alloc1mil" localSheetId="15">'ES CT Electric Table A  '!#REF!</definedName>
    <definedName name="tableA_Note2Alloc1mil" localSheetId="22">#REF!</definedName>
    <definedName name="tableA_Note2Alloc1mil" localSheetId="23">'ES CT Electric Table A  '!#REF!</definedName>
    <definedName name="tableA_Note2Alloc1mil" localSheetId="16">'ES CT Electric Table A  '!#REF!</definedName>
    <definedName name="tableA_Note2Alloc1mil" localSheetId="19">'ES CT Electric Table A  '!#REF!</definedName>
    <definedName name="tableA_Note2Alloc1mil" localSheetId="24">#REF!</definedName>
    <definedName name="tableA_Note2Alloc1mil" localSheetId="25">'ES CT Electric Table A  '!#REF!</definedName>
    <definedName name="tableA_Note2Alloc1mil" localSheetId="17">#REF!</definedName>
    <definedName name="tableA_Note2Alloc1mil" localSheetId="11">'[2]CLM Programs'!#REF!</definedName>
    <definedName name="tableA_Note2Alloc1mil">#REF!</definedName>
    <definedName name="tableA1CLP2005" localSheetId="9">' 2021 - 2024 Comb Revenues A2'!$F$5:$F$55</definedName>
    <definedName name="tableA1CLP2005" localSheetId="0">' 2022 - 2024 Combined Table A1'!#REF!</definedName>
    <definedName name="tableA1CLP2005" localSheetId="36">#REF!</definedName>
    <definedName name="tableA1CLP2005" localSheetId="1">#REF!</definedName>
    <definedName name="tableA1CLP2005" localSheetId="37">#REF!</definedName>
    <definedName name="tableA1CLP2005" localSheetId="2">#REF!</definedName>
    <definedName name="tableA1CLP2005" localSheetId="8">'2022-2025 Comb Revenues'!$F$5:$F$55</definedName>
    <definedName name="tableA1CLP2005" localSheetId="38">#REF!</definedName>
    <definedName name="tableA1CLP2005" localSheetId="40">#REF!</definedName>
    <definedName name="tableA1CLP2005" localSheetId="4">#REF!</definedName>
    <definedName name="tableA1CLP2005" localSheetId="39">#REF!</definedName>
    <definedName name="tableA1CLP2005" localSheetId="41">#REF!</definedName>
    <definedName name="tableA1CLP2005" localSheetId="6">#REF!</definedName>
    <definedName name="tableA1CLP2005" localSheetId="12">#REF!</definedName>
    <definedName name="tableA1CLP2005" localSheetId="18">#REF!</definedName>
    <definedName name="tableA1CLP2005" localSheetId="13">#REF!</definedName>
    <definedName name="tableA1CLP2005" localSheetId="20">#REF!</definedName>
    <definedName name="tableA1CLP2005" localSheetId="21">#REF!</definedName>
    <definedName name="tableA1CLP2005" localSheetId="14">#REF!</definedName>
    <definedName name="tableA1CLP2005" localSheetId="15">#REF!</definedName>
    <definedName name="tableA1CLP2005" localSheetId="22">#REF!</definedName>
    <definedName name="tableA1CLP2005" localSheetId="23">#REF!</definedName>
    <definedName name="tableA1CLP2005" localSheetId="16">#REF!</definedName>
    <definedName name="tableA1CLP2005" localSheetId="19">#REF!</definedName>
    <definedName name="tableA1CLP2005" localSheetId="24">#REF!</definedName>
    <definedName name="tableA1CLP2005" localSheetId="25">#REF!</definedName>
    <definedName name="tableA1CLP2005" localSheetId="10">'[4]2005 CLP and UI Table A1 '!$B$9:$B$65</definedName>
    <definedName name="tableA1CLP2005" localSheetId="17">#REF!</definedName>
    <definedName name="tableA1CLP2005" localSheetId="11">#REF!</definedName>
    <definedName name="tableA1CLP2005">#REF!</definedName>
    <definedName name="tableA1type_of_service" localSheetId="9">' 2021 - 2024 Comb Revenues A2'!#REF!</definedName>
    <definedName name="tableA1type_of_service" localSheetId="0">' 2022 - 2024 Combined Table A1'!$A$12:$A$50</definedName>
    <definedName name="tableA1type_of_service" localSheetId="36">#REF!</definedName>
    <definedName name="tableA1type_of_service" localSheetId="1">#REF!</definedName>
    <definedName name="tableA1type_of_service" localSheetId="37">#REF!</definedName>
    <definedName name="tableA1type_of_service" localSheetId="2">#REF!</definedName>
    <definedName name="tableA1type_of_service" localSheetId="8">'2022-2025 Comb Revenues'!#REF!</definedName>
    <definedName name="tableA1type_of_service" localSheetId="38">#REF!</definedName>
    <definedName name="tableA1type_of_service" localSheetId="40">#REF!</definedName>
    <definedName name="tableA1type_of_service" localSheetId="4">#REF!</definedName>
    <definedName name="tableA1type_of_service" localSheetId="39">#REF!</definedName>
    <definedName name="tableA1type_of_service" localSheetId="41">#REF!</definedName>
    <definedName name="tableA1type_of_service" localSheetId="6">#REF!</definedName>
    <definedName name="tableA1type_of_service" localSheetId="12">#REF!</definedName>
    <definedName name="tableA1type_of_service" localSheetId="18">#REF!</definedName>
    <definedName name="tableA1type_of_service" localSheetId="13">#REF!</definedName>
    <definedName name="tableA1type_of_service" localSheetId="20">#REF!</definedName>
    <definedName name="tableA1type_of_service" localSheetId="21">#REF!</definedName>
    <definedName name="tableA1type_of_service" localSheetId="14">#REF!</definedName>
    <definedName name="tableA1type_of_service" localSheetId="15">#REF!</definedName>
    <definedName name="tableA1type_of_service" localSheetId="22">#REF!</definedName>
    <definedName name="tableA1type_of_service" localSheetId="23">#REF!</definedName>
    <definedName name="tableA1type_of_service" localSheetId="16">#REF!</definedName>
    <definedName name="tableA1type_of_service" localSheetId="19">#REF!</definedName>
    <definedName name="tableA1type_of_service" localSheetId="24">#REF!</definedName>
    <definedName name="tableA1type_of_service" localSheetId="25">#REF!</definedName>
    <definedName name="tableA1type_of_service" localSheetId="10">'[4]2005 CLP and UI Table A1 '!#REF!</definedName>
    <definedName name="tableA1type_of_service" localSheetId="17">#REF!</definedName>
    <definedName name="tableA1type_of_service" localSheetId="11">#REF!</definedName>
    <definedName name="tableA1type_of_service">#REF!</definedName>
    <definedName name="tableA1UI2005" localSheetId="9">' 2021 - 2024 Comb Revenues A2'!$G$5:$G$55</definedName>
    <definedName name="tableA1UI2005" localSheetId="0">' 2022 - 2024 Combined Table A1'!#REF!</definedName>
    <definedName name="tableA1UI2005" localSheetId="36">#REF!</definedName>
    <definedName name="tableA1UI2005" localSheetId="1">#REF!</definedName>
    <definedName name="tableA1UI2005" localSheetId="37">#REF!</definedName>
    <definedName name="tableA1UI2005" localSheetId="2">#REF!</definedName>
    <definedName name="tableA1UI2005" localSheetId="8">'2022-2025 Comb Revenues'!$G$5:$G$55</definedName>
    <definedName name="tableA1UI2005" localSheetId="38">#REF!</definedName>
    <definedName name="tableA1UI2005" localSheetId="40">#REF!</definedName>
    <definedName name="tableA1UI2005" localSheetId="4">#REF!</definedName>
    <definedName name="tableA1UI2005" localSheetId="39">#REF!</definedName>
    <definedName name="tableA1UI2005" localSheetId="41">#REF!</definedName>
    <definedName name="tableA1UI2005" localSheetId="6">#REF!</definedName>
    <definedName name="tableA1UI2005" localSheetId="12">#REF!</definedName>
    <definedName name="tableA1UI2005" localSheetId="18">#REF!</definedName>
    <definedName name="tableA1UI2005" localSheetId="13">#REF!</definedName>
    <definedName name="tableA1UI2005" localSheetId="20">#REF!</definedName>
    <definedName name="tableA1UI2005" localSheetId="21">#REF!</definedName>
    <definedName name="tableA1UI2005" localSheetId="14">#REF!</definedName>
    <definedName name="tableA1UI2005" localSheetId="15">#REF!</definedName>
    <definedName name="tableA1UI2005" localSheetId="22">#REF!</definedName>
    <definedName name="tableA1UI2005" localSheetId="23">#REF!</definedName>
    <definedName name="tableA1UI2005" localSheetId="16">#REF!</definedName>
    <definedName name="tableA1UI2005" localSheetId="19">#REF!</definedName>
    <definedName name="tableA1UI2005" localSheetId="24">#REF!</definedName>
    <definedName name="tableA1UI2005" localSheetId="25">#REF!</definedName>
    <definedName name="tableA1UI2005" localSheetId="10">'[4]2005 CLP and UI Table A1 '!$C$9:$C$65</definedName>
    <definedName name="tableA1UI2005" localSheetId="17">#REF!</definedName>
    <definedName name="tableA1UI2005" localSheetId="11">#REF!</definedName>
    <definedName name="tableA1UI2005">#REF!</definedName>
    <definedName name="tableACLP2003" localSheetId="36">#REF!</definedName>
    <definedName name="tableACLP2003" localSheetId="1">#REF!</definedName>
    <definedName name="tableACLP2003" localSheetId="37">#REF!</definedName>
    <definedName name="tableACLP2003" localSheetId="2">#REF!</definedName>
    <definedName name="tableACLP2003" localSheetId="38">#REF!</definedName>
    <definedName name="tableACLP2003" localSheetId="40">#REF!</definedName>
    <definedName name="tableACLP2003" localSheetId="4">#REF!</definedName>
    <definedName name="tableACLP2003" localSheetId="39">#REF!</definedName>
    <definedName name="tableACLP2003" localSheetId="41">#REF!</definedName>
    <definedName name="tableACLP2003" localSheetId="6">#REF!</definedName>
    <definedName name="tableACLP2003" localSheetId="12">#REF!</definedName>
    <definedName name="tableACLP2003" localSheetId="18">#REF!</definedName>
    <definedName name="tableACLP2003" localSheetId="13">#REF!</definedName>
    <definedName name="tableACLP2003" localSheetId="20">#REF!</definedName>
    <definedName name="tableACLP2003" localSheetId="21">#REF!</definedName>
    <definedName name="tableACLP2003" localSheetId="14">#REF!</definedName>
    <definedName name="tableACLP2003" localSheetId="15">#REF!</definedName>
    <definedName name="tableACLP2003" localSheetId="22">#REF!</definedName>
    <definedName name="tableACLP2003" localSheetId="23">#REF!</definedName>
    <definedName name="tableACLP2003" localSheetId="16">#REF!</definedName>
    <definedName name="tableACLP2003" localSheetId="19">#REF!</definedName>
    <definedName name="tableACLP2003" localSheetId="24">#REF!</definedName>
    <definedName name="tableACLP2003" localSheetId="25">#REF!</definedName>
    <definedName name="tableACLP2003" localSheetId="10">'ES CT Electric Table A  '!#REF!</definedName>
    <definedName name="tableACLP2003" localSheetId="17">#REF!</definedName>
    <definedName name="tableACLP2003" localSheetId="11">#REF!</definedName>
    <definedName name="tableACLP2003">#REF!</definedName>
    <definedName name="tableACLP2005" localSheetId="36">#REF!</definedName>
    <definedName name="tableACLP2005" localSheetId="1">#REF!</definedName>
    <definedName name="tableACLP2005" localSheetId="37">#REF!</definedName>
    <definedName name="tableACLP2005" localSheetId="2">#REF!</definedName>
    <definedName name="tableACLP2005" localSheetId="38">#REF!</definedName>
    <definedName name="tableACLP2005" localSheetId="40">#REF!</definedName>
    <definedName name="tableACLP2005" localSheetId="4">#REF!</definedName>
    <definedName name="tableACLP2005" localSheetId="39">#REF!</definedName>
    <definedName name="tableACLP2005" localSheetId="41">#REF!</definedName>
    <definedName name="tableACLP2005" localSheetId="6">#REF!</definedName>
    <definedName name="tableACLP2005" localSheetId="12">#REF!</definedName>
    <definedName name="tableACLP2005" localSheetId="18">#REF!</definedName>
    <definedName name="tableACLP2005" localSheetId="13">#REF!</definedName>
    <definedName name="tableACLP2005" localSheetId="20">#REF!</definedName>
    <definedName name="tableACLP2005" localSheetId="21">#REF!</definedName>
    <definedName name="tableACLP2005" localSheetId="14">#REF!</definedName>
    <definedName name="tableACLP2005" localSheetId="15">#REF!</definedName>
    <definedName name="tableACLP2005" localSheetId="22">#REF!</definedName>
    <definedName name="tableACLP2005" localSheetId="23">#REF!</definedName>
    <definedName name="tableACLP2005" localSheetId="16">#REF!</definedName>
    <definedName name="tableACLP2005" localSheetId="19">#REF!</definedName>
    <definedName name="tableACLP2005" localSheetId="24">#REF!</definedName>
    <definedName name="tableACLP2005" localSheetId="25">#REF!</definedName>
    <definedName name="tableACLP2005" localSheetId="10">'ES CT Electric Table A  '!#REF!</definedName>
    <definedName name="tableACLP2005" localSheetId="17">#REF!</definedName>
    <definedName name="tableACLP2005" localSheetId="11">#REF!</definedName>
    <definedName name="tableACLP2005">#REF!</definedName>
    <definedName name="tableACLPor2004" localSheetId="36">#REF!</definedName>
    <definedName name="tableACLPor2004" localSheetId="1">#REF!</definedName>
    <definedName name="tableACLPor2004" localSheetId="37">#REF!</definedName>
    <definedName name="tableACLPor2004" localSheetId="2">#REF!</definedName>
    <definedName name="tableACLPor2004" localSheetId="38">#REF!</definedName>
    <definedName name="tableACLPor2004" localSheetId="40">#REF!</definedName>
    <definedName name="tableACLPor2004" localSheetId="4">#REF!</definedName>
    <definedName name="tableACLPor2004" localSheetId="39">#REF!</definedName>
    <definedName name="tableACLPor2004" localSheetId="41">#REF!</definedName>
    <definedName name="tableACLPor2004" localSheetId="6">#REF!</definedName>
    <definedName name="tableACLPor2004" localSheetId="12">#REF!</definedName>
    <definedName name="tableACLPor2004" localSheetId="18">#REF!</definedName>
    <definedName name="tableACLPor2004" localSheetId="13">#REF!</definedName>
    <definedName name="tableACLPor2004" localSheetId="20">#REF!</definedName>
    <definedName name="tableACLPor2004" localSheetId="21">#REF!</definedName>
    <definedName name="tableACLPor2004" localSheetId="14">#REF!</definedName>
    <definedName name="tableACLPor2004" localSheetId="15">#REF!</definedName>
    <definedName name="tableACLPor2004" localSheetId="22">#REF!</definedName>
    <definedName name="tableACLPor2004" localSheetId="23">#REF!</definedName>
    <definedName name="tableACLPor2004" localSheetId="16">#REF!</definedName>
    <definedName name="tableACLPor2004" localSheetId="19">#REF!</definedName>
    <definedName name="tableACLPor2004" localSheetId="24">#REF!</definedName>
    <definedName name="tableACLPor2004" localSheetId="25">#REF!</definedName>
    <definedName name="tableACLPor2004" localSheetId="10">'ES CT Electric Table A  '!#REF!</definedName>
    <definedName name="tableACLPor2004" localSheetId="17">#REF!</definedName>
    <definedName name="tableACLPor2004" localSheetId="11">#REF!</definedName>
    <definedName name="tableACLPor2004">#REF!</definedName>
    <definedName name="tableACLPrev2004" localSheetId="36">#REF!</definedName>
    <definedName name="tableACLPrev2004" localSheetId="1">#REF!</definedName>
    <definedName name="tableACLPrev2004" localSheetId="37">#REF!</definedName>
    <definedName name="tableACLPrev2004" localSheetId="2">#REF!</definedName>
    <definedName name="tableACLPrev2004" localSheetId="38">#REF!</definedName>
    <definedName name="tableACLPrev2004" localSheetId="40">#REF!</definedName>
    <definedName name="tableACLPrev2004" localSheetId="4">#REF!</definedName>
    <definedName name="tableACLPrev2004" localSheetId="39">#REF!</definedName>
    <definedName name="tableACLPrev2004" localSheetId="41">#REF!</definedName>
    <definedName name="tableACLPrev2004" localSheetId="6">#REF!</definedName>
    <definedName name="tableACLPrev2004" localSheetId="12">#REF!</definedName>
    <definedName name="tableACLPrev2004" localSheetId="18">#REF!</definedName>
    <definedName name="tableACLPrev2004" localSheetId="13">#REF!</definedName>
    <definedName name="tableACLPrev2004" localSheetId="20">#REF!</definedName>
    <definedName name="tableACLPrev2004" localSheetId="21">#REF!</definedName>
    <definedName name="tableACLPrev2004" localSheetId="14">#REF!</definedName>
    <definedName name="tableACLPrev2004" localSheetId="15">#REF!</definedName>
    <definedName name="tableACLPrev2004" localSheetId="22">#REF!</definedName>
    <definedName name="tableACLPrev2004" localSheetId="23">#REF!</definedName>
    <definedName name="tableACLPrev2004" localSheetId="16">#REF!</definedName>
    <definedName name="tableACLPrev2004" localSheetId="19">#REF!</definedName>
    <definedName name="tableACLPrev2004" localSheetId="24">#REF!</definedName>
    <definedName name="tableACLPrev2004" localSheetId="25">#REF!</definedName>
    <definedName name="tableACLPrev2004" localSheetId="10">'ES CT Electric Table A  '!#REF!</definedName>
    <definedName name="tableACLPrev2004" localSheetId="17">#REF!</definedName>
    <definedName name="tableACLPrev2004" localSheetId="11">#REF!</definedName>
    <definedName name="tableACLPrev2004">#REF!</definedName>
    <definedName name="tableAtype_of_service" localSheetId="36">#REF!</definedName>
    <definedName name="tableAtype_of_service" localSheetId="1">#REF!</definedName>
    <definedName name="tableAtype_of_service" localSheetId="37">#REF!</definedName>
    <definedName name="tableAtype_of_service" localSheetId="2">#REF!</definedName>
    <definedName name="tableAtype_of_service" localSheetId="38">#REF!</definedName>
    <definedName name="tableAtype_of_service" localSheetId="40">#REF!</definedName>
    <definedName name="tableAtype_of_service" localSheetId="4">#REF!</definedName>
    <definedName name="tableAtype_of_service" localSheetId="39">#REF!</definedName>
    <definedName name="tableAtype_of_service" localSheetId="41">#REF!</definedName>
    <definedName name="tableAtype_of_service" localSheetId="6">#REF!</definedName>
    <definedName name="tableAtype_of_service" localSheetId="12">#REF!</definedName>
    <definedName name="tableAtype_of_service" localSheetId="18">#REF!</definedName>
    <definedName name="tableAtype_of_service" localSheetId="13">#REF!</definedName>
    <definedName name="tableAtype_of_service" localSheetId="20">#REF!</definedName>
    <definedName name="tableAtype_of_service" localSheetId="21">#REF!</definedName>
    <definedName name="tableAtype_of_service" localSheetId="14">#REF!</definedName>
    <definedName name="tableAtype_of_service" localSheetId="15">#REF!</definedName>
    <definedName name="tableAtype_of_service" localSheetId="22">#REF!</definedName>
    <definedName name="tableAtype_of_service" localSheetId="23">#REF!</definedName>
    <definedName name="tableAtype_of_service" localSheetId="16">#REF!</definedName>
    <definedName name="tableAtype_of_service" localSheetId="19">#REF!</definedName>
    <definedName name="tableAtype_of_service" localSheetId="24">#REF!</definedName>
    <definedName name="tableAtype_of_service" localSheetId="25">#REF!</definedName>
    <definedName name="tableAtype_of_service" localSheetId="10">'ES CT Electric Table A  '!$A$10:$A$48</definedName>
    <definedName name="tableAtype_of_service" localSheetId="17">#REF!</definedName>
    <definedName name="tableAtype_of_service" localSheetId="11">#REF!</definedName>
    <definedName name="tableAtype_of_service">#REF!</definedName>
    <definedName name="tableb_annual_saving" localSheetId="36">#REF!</definedName>
    <definedName name="tableb_annual_saving" localSheetId="1">#REF!</definedName>
    <definedName name="tableb_annual_saving" localSheetId="37">#REF!</definedName>
    <definedName name="tableb_annual_saving" localSheetId="2">#REF!</definedName>
    <definedName name="tableb_annual_saving" localSheetId="38">#REF!</definedName>
    <definedName name="tableb_annual_saving" localSheetId="40">#REF!</definedName>
    <definedName name="tableb_annual_saving" localSheetId="4">#REF!</definedName>
    <definedName name="tableb_annual_saving" localSheetId="39">#REF!</definedName>
    <definedName name="tableb_annual_saving" localSheetId="41">#REF!</definedName>
    <definedName name="tableb_annual_saving" localSheetId="6">#REF!</definedName>
    <definedName name="tableb_annual_saving" localSheetId="12">#REF!</definedName>
    <definedName name="tableb_annual_saving" localSheetId="18">#REF!</definedName>
    <definedName name="tableb_annual_saving" localSheetId="13">#REF!</definedName>
    <definedName name="tableb_annual_saving" localSheetId="20">#REF!</definedName>
    <definedName name="tableb_annual_saving" localSheetId="21">#REF!</definedName>
    <definedName name="tableb_annual_saving" localSheetId="14">#REF!</definedName>
    <definedName name="tableb_annual_saving" localSheetId="15">#REF!</definedName>
    <definedName name="tableb_annual_saving" localSheetId="22">#REF!</definedName>
    <definedName name="tableb_annual_saving" localSheetId="23">#REF!</definedName>
    <definedName name="tableb_annual_saving" localSheetId="16">#REF!</definedName>
    <definedName name="tableb_annual_saving" localSheetId="19">#REF!</definedName>
    <definedName name="tableb_annual_saving" localSheetId="24">#REF!</definedName>
    <definedName name="tableb_annual_saving" localSheetId="25">#REF!</definedName>
    <definedName name="tableb_annual_saving" localSheetId="10">'[4]2005 CLP Table B - Comparison'!$N$9:$N$66</definedName>
    <definedName name="tableb_annual_saving" localSheetId="17">#REF!</definedName>
    <definedName name="tableb_annual_saving" localSheetId="11">#REF!</definedName>
    <definedName name="tableb_annual_saving">#REF!</definedName>
    <definedName name="tableb_life_saving" localSheetId="36">#REF!</definedName>
    <definedName name="tableb_life_saving" localSheetId="1">#REF!</definedName>
    <definedName name="tableb_life_saving" localSheetId="37">#REF!</definedName>
    <definedName name="tableb_life_saving" localSheetId="2">#REF!</definedName>
    <definedName name="tableb_life_saving" localSheetId="38">#REF!</definedName>
    <definedName name="tableb_life_saving" localSheetId="40">#REF!</definedName>
    <definedName name="tableb_life_saving" localSheetId="4">#REF!</definedName>
    <definedName name="tableb_life_saving" localSheetId="39">#REF!</definedName>
    <definedName name="tableb_life_saving" localSheetId="41">#REF!</definedName>
    <definedName name="tableb_life_saving" localSheetId="6">#REF!</definedName>
    <definedName name="tableb_life_saving" localSheetId="12">#REF!</definedName>
    <definedName name="tableb_life_saving" localSheetId="18">#REF!</definedName>
    <definedName name="tableb_life_saving" localSheetId="13">#REF!</definedName>
    <definedName name="tableb_life_saving" localSheetId="20">#REF!</definedName>
    <definedName name="tableb_life_saving" localSheetId="21">#REF!</definedName>
    <definedName name="tableb_life_saving" localSheetId="14">#REF!</definedName>
    <definedName name="tableb_life_saving" localSheetId="15">#REF!</definedName>
    <definedName name="tableb_life_saving" localSheetId="22">#REF!</definedName>
    <definedName name="tableb_life_saving" localSheetId="23">#REF!</definedName>
    <definedName name="tableb_life_saving" localSheetId="16">#REF!</definedName>
    <definedName name="tableb_life_saving" localSheetId="19">#REF!</definedName>
    <definedName name="tableb_life_saving" localSheetId="24">#REF!</definedName>
    <definedName name="tableb_life_saving" localSheetId="25">#REF!</definedName>
    <definedName name="tableb_life_saving" localSheetId="10">'[4]2005 CLP Table B - Comparison'!$O$9:$O$71</definedName>
    <definedName name="tableb_life_saving" localSheetId="17">#REF!</definedName>
    <definedName name="tableb_life_saving" localSheetId="11">#REF!</definedName>
    <definedName name="tableb_life_saving">#REF!</definedName>
    <definedName name="tableb_utility_costs" localSheetId="27">'[11]CLP Table B - 2009 Comparison'!#REF!</definedName>
    <definedName name="tableb_utility_costs" localSheetId="29">'[11]CLP Table B - 2009 Comparison'!#REF!</definedName>
    <definedName name="tableb_utility_costs" localSheetId="30">'[11]CLP Table B - 2009 Comparison'!#REF!</definedName>
    <definedName name="tableb_utility_costs" localSheetId="26">'[11]CLP Table B - 2009 Comparison'!#REF!</definedName>
    <definedName name="tableb_utility_costs" localSheetId="28">'[11]CLP Table B - 2009 Comparison'!#REF!</definedName>
    <definedName name="tableb_utility_costs" localSheetId="34">'[11]CLP Table B - 2009 Comparison'!#REF!</definedName>
    <definedName name="tableb_utility_costs" localSheetId="35">'[11]CLP Table B - 2009 Comparison'!#REF!</definedName>
    <definedName name="tableb_utility_costs" localSheetId="36">#REF!</definedName>
    <definedName name="tableb_utility_costs" localSheetId="1">#REF!</definedName>
    <definedName name="tableb_utility_costs" localSheetId="37">#REF!</definedName>
    <definedName name="tableb_utility_costs" localSheetId="2">#REF!</definedName>
    <definedName name="tableb_utility_costs" localSheetId="38">#REF!</definedName>
    <definedName name="tableb_utility_costs" localSheetId="40">#REF!</definedName>
    <definedName name="tableb_utility_costs" localSheetId="4">#REF!</definedName>
    <definedName name="tableb_utility_costs" localSheetId="39">#REF!</definedName>
    <definedName name="tableb_utility_costs" localSheetId="41">#REF!</definedName>
    <definedName name="tableb_utility_costs" localSheetId="6">#REF!</definedName>
    <definedName name="tableb_utility_costs" localSheetId="12">#REF!</definedName>
    <definedName name="tableb_utility_costs" localSheetId="18">#REF!</definedName>
    <definedName name="tableb_utility_costs" localSheetId="13">#REF!</definedName>
    <definedName name="tableb_utility_costs" localSheetId="20">#REF!</definedName>
    <definedName name="tableb_utility_costs" localSheetId="21">#REF!</definedName>
    <definedName name="tableb_utility_costs" localSheetId="14">#REF!</definedName>
    <definedName name="tableb_utility_costs" localSheetId="15">#REF!</definedName>
    <definedName name="tableb_utility_costs" localSheetId="22">#REF!</definedName>
    <definedName name="tableb_utility_costs" localSheetId="23">#REF!</definedName>
    <definedName name="tableb_utility_costs" localSheetId="16">#REF!</definedName>
    <definedName name="tableb_utility_costs" localSheetId="19">#REF!</definedName>
    <definedName name="tableb_utility_costs" localSheetId="24">#REF!</definedName>
    <definedName name="tableb_utility_costs" localSheetId="25">#REF!</definedName>
    <definedName name="tableb_utility_costs" localSheetId="10">'[4]2005 CLP Table B - Comparison'!$C$9:$C$66</definedName>
    <definedName name="tableb_utility_costs" localSheetId="17">#REF!</definedName>
    <definedName name="tableb_utility_costs" localSheetId="11">'[12]CLP Table B - 2009 Comparison'!#REF!</definedName>
    <definedName name="tableb_utility_costs">#REF!</definedName>
    <definedName name="tableBkw_inpact" localSheetId="36">#REF!</definedName>
    <definedName name="tableBkw_inpact" localSheetId="1">#REF!</definedName>
    <definedName name="tableBkw_inpact" localSheetId="37">#REF!</definedName>
    <definedName name="tableBkw_inpact" localSheetId="2">#REF!</definedName>
    <definedName name="tableBkw_inpact" localSheetId="38">#REF!</definedName>
    <definedName name="tableBkw_inpact" localSheetId="40">#REF!</definedName>
    <definedName name="tableBkw_inpact" localSheetId="4">#REF!</definedName>
    <definedName name="tableBkw_inpact" localSheetId="39">#REF!</definedName>
    <definedName name="tableBkw_inpact" localSheetId="41">#REF!</definedName>
    <definedName name="tableBkw_inpact" localSheetId="6">#REF!</definedName>
    <definedName name="tableBkw_inpact" localSheetId="12">#REF!</definedName>
    <definedName name="tableBkw_inpact" localSheetId="18">#REF!</definedName>
    <definedName name="tableBkw_inpact" localSheetId="13">#REF!</definedName>
    <definedName name="tableBkw_inpact" localSheetId="20">#REF!</definedName>
    <definedName name="tableBkw_inpact" localSheetId="21">#REF!</definedName>
    <definedName name="tableBkw_inpact" localSheetId="14">#REF!</definedName>
    <definedName name="tableBkw_inpact" localSheetId="15">#REF!</definedName>
    <definedName name="tableBkw_inpact" localSheetId="22">#REF!</definedName>
    <definedName name="tableBkw_inpact" localSheetId="23">#REF!</definedName>
    <definedName name="tableBkw_inpact" localSheetId="16">#REF!</definedName>
    <definedName name="tableBkw_inpact" localSheetId="19">#REF!</definedName>
    <definedName name="tableBkw_inpact" localSheetId="24">#REF!</definedName>
    <definedName name="tableBkw_inpact" localSheetId="25">#REF!</definedName>
    <definedName name="tableBkw_inpact" localSheetId="10">'[4]2005 CLP Table B - Comparison'!$P$9:$P$66</definedName>
    <definedName name="tableBkw_inpact" localSheetId="17">#REF!</definedName>
    <definedName name="tableBkw_inpact" localSheetId="11">#REF!</definedName>
    <definedName name="tableBkw_inpact">#REF!</definedName>
    <definedName name="tableBtype_of_service" localSheetId="36">#REF!</definedName>
    <definedName name="tableBtype_of_service" localSheetId="1">#REF!</definedName>
    <definedName name="tableBtype_of_service" localSheetId="37">#REF!</definedName>
    <definedName name="tableBtype_of_service" localSheetId="2">#REF!</definedName>
    <definedName name="tableBtype_of_service" localSheetId="38">#REF!</definedName>
    <definedName name="tableBtype_of_service" localSheetId="40">#REF!</definedName>
    <definedName name="tableBtype_of_service" localSheetId="4">#REF!</definedName>
    <definedName name="tableBtype_of_service" localSheetId="39">#REF!</definedName>
    <definedName name="tableBtype_of_service" localSheetId="41">#REF!</definedName>
    <definedName name="tableBtype_of_service" localSheetId="6">#REF!</definedName>
    <definedName name="tableBtype_of_service" localSheetId="12">#REF!</definedName>
    <definedName name="tableBtype_of_service" localSheetId="18">#REF!</definedName>
    <definedName name="tableBtype_of_service" localSheetId="13">#REF!</definedName>
    <definedName name="tableBtype_of_service" localSheetId="20">#REF!</definedName>
    <definedName name="tableBtype_of_service" localSheetId="21">#REF!</definedName>
    <definedName name="tableBtype_of_service" localSheetId="14">#REF!</definedName>
    <definedName name="tableBtype_of_service" localSheetId="15">#REF!</definedName>
    <definedName name="tableBtype_of_service" localSheetId="22">#REF!</definedName>
    <definedName name="tableBtype_of_service" localSheetId="23">#REF!</definedName>
    <definedName name="tableBtype_of_service" localSheetId="16">#REF!</definedName>
    <definedName name="tableBtype_of_service" localSheetId="19">#REF!</definedName>
    <definedName name="tableBtype_of_service" localSheetId="24">#REF!</definedName>
    <definedName name="tableBtype_of_service" localSheetId="25">#REF!</definedName>
    <definedName name="tableBtype_of_service" localSheetId="10">'[4]2005 CLP Table B - Comparison'!#REF!</definedName>
    <definedName name="tableBtype_of_service" localSheetId="17">#REF!</definedName>
    <definedName name="tableBtype_of_service" localSheetId="11">#REF!</definedName>
    <definedName name="tableBtype_of_service">#REF!</definedName>
    <definedName name="tableCadmin_expences" localSheetId="36">#REF!</definedName>
    <definedName name="tableCadmin_expences" localSheetId="1">#REF!</definedName>
    <definedName name="tableCadmin_expences" localSheetId="37">#REF!</definedName>
    <definedName name="tableCadmin_expences" localSheetId="2">#REF!</definedName>
    <definedName name="tableCadmin_expences" localSheetId="38">#REF!</definedName>
    <definedName name="tableCadmin_expences" localSheetId="40">#REF!</definedName>
    <definedName name="tableCadmin_expences" localSheetId="4">#REF!</definedName>
    <definedName name="tableCadmin_expences" localSheetId="39">#REF!</definedName>
    <definedName name="tableCadmin_expences" localSheetId="41">#REF!</definedName>
    <definedName name="tableCadmin_expences" localSheetId="6">#REF!</definedName>
    <definedName name="tableCadmin_expences" localSheetId="12">#REF!</definedName>
    <definedName name="tableCadmin_expences" localSheetId="18">#REF!</definedName>
    <definedName name="tableCadmin_expences" localSheetId="13">#REF!</definedName>
    <definedName name="tableCadmin_expences" localSheetId="20">'ES CT Electric 2022 Table C '!$L$7:$L$46</definedName>
    <definedName name="tableCadmin_expences" localSheetId="21">#REF!</definedName>
    <definedName name="tableCadmin_expences" localSheetId="14">#REF!</definedName>
    <definedName name="tableCadmin_expences" localSheetId="15">#REF!</definedName>
    <definedName name="tableCadmin_expences" localSheetId="22">'ES CT Electric 2023 Table C '!$L$7:$L$46</definedName>
    <definedName name="tableCadmin_expences" localSheetId="23">#REF!</definedName>
    <definedName name="tableCadmin_expences" localSheetId="16">#REF!</definedName>
    <definedName name="tableCadmin_expences" localSheetId="19">#REF!</definedName>
    <definedName name="tableCadmin_expences" localSheetId="24">'ES CT Electric 2024 Table C '!$L$7:$L$46</definedName>
    <definedName name="tableCadmin_expences" localSheetId="25">#REF!</definedName>
    <definedName name="tableCadmin_expences" localSheetId="10">'[4]2005 CLP Table C - Details '!$I$6:$I$62</definedName>
    <definedName name="tableCadmin_expences" localSheetId="17">'ES CT Electric Table C 2021'!$L$7:$L$46</definedName>
    <definedName name="tableCadmin_expences" localSheetId="11">#REF!</definedName>
    <definedName name="tableCadmin_expences">#REF!</definedName>
    <definedName name="tableCCLP_labor" localSheetId="36">#REF!</definedName>
    <definedName name="tableCCLP_labor" localSheetId="1">#REF!</definedName>
    <definedName name="tableCCLP_labor" localSheetId="37">#REF!</definedName>
    <definedName name="tableCCLP_labor" localSheetId="2">#REF!</definedName>
    <definedName name="tableCCLP_labor" localSheetId="38">#REF!</definedName>
    <definedName name="tableCCLP_labor" localSheetId="40">#REF!</definedName>
    <definedName name="tableCCLP_labor" localSheetId="4">#REF!</definedName>
    <definedName name="tableCCLP_labor" localSheetId="39">#REF!</definedName>
    <definedName name="tableCCLP_labor" localSheetId="41">#REF!</definedName>
    <definedName name="tableCCLP_labor" localSheetId="6">#REF!</definedName>
    <definedName name="tableCCLP_labor" localSheetId="12">#REF!</definedName>
    <definedName name="tableCCLP_labor" localSheetId="18">#REF!</definedName>
    <definedName name="tableCCLP_labor" localSheetId="13">#REF!</definedName>
    <definedName name="tableCCLP_labor" localSheetId="20">'ES CT Electric 2022 Table C '!$E$7:$E$45</definedName>
    <definedName name="tableCCLP_labor" localSheetId="21">#REF!</definedName>
    <definedName name="tableCCLP_labor" localSheetId="14">#REF!</definedName>
    <definedName name="tableCCLP_labor" localSheetId="15">#REF!</definedName>
    <definedName name="tableCCLP_labor" localSheetId="22">'ES CT Electric 2023 Table C '!$E$7:$E$45</definedName>
    <definedName name="tableCCLP_labor" localSheetId="23">#REF!</definedName>
    <definedName name="tableCCLP_labor" localSheetId="16">#REF!</definedName>
    <definedName name="tableCCLP_labor" localSheetId="19">#REF!</definedName>
    <definedName name="tableCCLP_labor" localSheetId="24">'ES CT Electric 2024 Table C '!$E$7:$E$45</definedName>
    <definedName name="tableCCLP_labor" localSheetId="25">#REF!</definedName>
    <definedName name="tableCCLP_labor" localSheetId="10">'[4]2005 CLP Table C - Details '!$B$6:$B$61</definedName>
    <definedName name="tableCCLP_labor" localSheetId="17">'ES CT Electric Table C 2021'!$E$7:$E$45</definedName>
    <definedName name="tableCCLP_labor" localSheetId="11">#REF!</definedName>
    <definedName name="tableCCLP_labor">#REF!</definedName>
    <definedName name="tableCincentives" localSheetId="36">#REF!</definedName>
    <definedName name="tableCincentives" localSheetId="1">#REF!</definedName>
    <definedName name="tableCincentives" localSheetId="37">#REF!</definedName>
    <definedName name="tableCincentives" localSheetId="2">#REF!</definedName>
    <definedName name="tableCincentives" localSheetId="38">#REF!</definedName>
    <definedName name="tableCincentives" localSheetId="40">#REF!</definedName>
    <definedName name="tableCincentives" localSheetId="4">#REF!</definedName>
    <definedName name="tableCincentives" localSheetId="39">#REF!</definedName>
    <definedName name="tableCincentives" localSheetId="41">#REF!</definedName>
    <definedName name="tableCincentives" localSheetId="6">#REF!</definedName>
    <definedName name="tableCincentives" localSheetId="12">#REF!</definedName>
    <definedName name="tableCincentives" localSheetId="18">#REF!</definedName>
    <definedName name="tableCincentives" localSheetId="13">#REF!</definedName>
    <definedName name="tableCincentives" localSheetId="20">'ES CT Electric 2022 Table C '!$I$7:$I$45</definedName>
    <definedName name="tableCincentives" localSheetId="21">#REF!</definedName>
    <definedName name="tableCincentives" localSheetId="14">#REF!</definedName>
    <definedName name="tableCincentives" localSheetId="15">#REF!</definedName>
    <definedName name="tableCincentives" localSheetId="22">'ES CT Electric 2023 Table C '!$I$7:$I$45</definedName>
    <definedName name="tableCincentives" localSheetId="23">#REF!</definedName>
    <definedName name="tableCincentives" localSheetId="16">#REF!</definedName>
    <definedName name="tableCincentives" localSheetId="19">#REF!</definedName>
    <definedName name="tableCincentives" localSheetId="24">'ES CT Electric 2024 Table C '!$I$7:$I$45</definedName>
    <definedName name="tableCincentives" localSheetId="25">#REF!</definedName>
    <definedName name="tableCincentives" localSheetId="10">'[4]2005 CLP Table C - Details '!$F$6:$F$61</definedName>
    <definedName name="tableCincentives" localSheetId="17">'ES CT Electric Table C 2021'!$I$7:$I$45</definedName>
    <definedName name="tableCincentives" localSheetId="11">#REF!</definedName>
    <definedName name="tableCincentives">#REF!</definedName>
    <definedName name="tableCmarketing" localSheetId="36">#REF!</definedName>
    <definedName name="tableCmarketing" localSheetId="1">#REF!</definedName>
    <definedName name="tableCmarketing" localSheetId="37">#REF!</definedName>
    <definedName name="tableCmarketing" localSheetId="2">#REF!</definedName>
    <definedName name="tableCmarketing" localSheetId="38">#REF!</definedName>
    <definedName name="tableCmarketing" localSheetId="40">#REF!</definedName>
    <definedName name="tableCmarketing" localSheetId="4">#REF!</definedName>
    <definedName name="tableCmarketing" localSheetId="39">#REF!</definedName>
    <definedName name="tableCmarketing" localSheetId="41">#REF!</definedName>
    <definedName name="tableCmarketing" localSheetId="6">#REF!</definedName>
    <definedName name="tableCmarketing" localSheetId="12">#REF!</definedName>
    <definedName name="tableCmarketing" localSheetId="18">#REF!</definedName>
    <definedName name="tableCmarketing" localSheetId="13">#REF!</definedName>
    <definedName name="tableCmarketing" localSheetId="20">'ES CT Electric 2022 Table C '!$J$7:$J$45</definedName>
    <definedName name="tableCmarketing" localSheetId="21">#REF!</definedName>
    <definedName name="tableCmarketing" localSheetId="14">#REF!</definedName>
    <definedName name="tableCmarketing" localSheetId="15">#REF!</definedName>
    <definedName name="tableCmarketing" localSheetId="22">'ES CT Electric 2023 Table C '!$J$7:$J$45</definedName>
    <definedName name="tableCmarketing" localSheetId="23">#REF!</definedName>
    <definedName name="tableCmarketing" localSheetId="16">#REF!</definedName>
    <definedName name="tableCmarketing" localSheetId="19">#REF!</definedName>
    <definedName name="tableCmarketing" localSheetId="24">'ES CT Electric 2024 Table C '!$J$7:$J$45</definedName>
    <definedName name="tableCmarketing" localSheetId="25">#REF!</definedName>
    <definedName name="tableCmarketing" localSheetId="10">'[4]2005 CLP Table C - Details '!$G$6:$G$61</definedName>
    <definedName name="tableCmarketing" localSheetId="17">'ES CT Electric Table C 2021'!$J$7:$J$45</definedName>
    <definedName name="tableCmarketing" localSheetId="11">#REF!</definedName>
    <definedName name="tableCmarketing">#REF!</definedName>
    <definedName name="tableCmaterial_supplies" localSheetId="36">#REF!</definedName>
    <definedName name="tableCmaterial_supplies" localSheetId="1">#REF!</definedName>
    <definedName name="tableCmaterial_supplies" localSheetId="37">#REF!</definedName>
    <definedName name="tableCmaterial_supplies" localSheetId="2">#REF!</definedName>
    <definedName name="tableCmaterial_supplies" localSheetId="38">#REF!</definedName>
    <definedName name="tableCmaterial_supplies" localSheetId="40">#REF!</definedName>
    <definedName name="tableCmaterial_supplies" localSheetId="4">#REF!</definedName>
    <definedName name="tableCmaterial_supplies" localSheetId="39">#REF!</definedName>
    <definedName name="tableCmaterial_supplies" localSheetId="41">#REF!</definedName>
    <definedName name="tableCmaterial_supplies" localSheetId="6">#REF!</definedName>
    <definedName name="tableCmaterial_supplies" localSheetId="12">#REF!</definedName>
    <definedName name="tableCmaterial_supplies" localSheetId="18">#REF!</definedName>
    <definedName name="tableCmaterial_supplies" localSheetId="13">#REF!</definedName>
    <definedName name="tableCmaterial_supplies" localSheetId="20">'ES CT Electric 2022 Table C '!$F$7:$F$45</definedName>
    <definedName name="tableCmaterial_supplies" localSheetId="21">#REF!</definedName>
    <definedName name="tableCmaterial_supplies" localSheetId="14">#REF!</definedName>
    <definedName name="tableCmaterial_supplies" localSheetId="15">#REF!</definedName>
    <definedName name="tableCmaterial_supplies" localSheetId="22">'ES CT Electric 2023 Table C '!$F$7:$F$45</definedName>
    <definedName name="tableCmaterial_supplies" localSheetId="23">#REF!</definedName>
    <definedName name="tableCmaterial_supplies" localSheetId="16">#REF!</definedName>
    <definedName name="tableCmaterial_supplies" localSheetId="19">#REF!</definedName>
    <definedName name="tableCmaterial_supplies" localSheetId="24">'ES CT Electric 2024 Table C '!$F$7:$F$45</definedName>
    <definedName name="tableCmaterial_supplies" localSheetId="25">#REF!</definedName>
    <definedName name="tableCmaterial_supplies" localSheetId="10">'[4]2005 CLP Table C - Details '!$C$6:$C$61</definedName>
    <definedName name="tableCmaterial_supplies" localSheetId="17">'ES CT Electric Table C 2021'!$F$7:$F$45</definedName>
    <definedName name="tableCmaterial_supplies" localSheetId="11">#REF!</definedName>
    <definedName name="tableCmaterial_supplies">#REF!</definedName>
    <definedName name="tableCother" localSheetId="36">#REF!</definedName>
    <definedName name="tableCother" localSheetId="1">#REF!</definedName>
    <definedName name="tableCother" localSheetId="37">#REF!</definedName>
    <definedName name="tableCother" localSheetId="2">#REF!</definedName>
    <definedName name="tableCother" localSheetId="38">#REF!</definedName>
    <definedName name="tableCother" localSheetId="40">#REF!</definedName>
    <definedName name="tableCother" localSheetId="4">#REF!</definedName>
    <definedName name="tableCother" localSheetId="39">#REF!</definedName>
    <definedName name="tableCother" localSheetId="41">#REF!</definedName>
    <definedName name="tableCother" localSheetId="6">#REF!</definedName>
    <definedName name="tableCother" localSheetId="12">#REF!</definedName>
    <definedName name="tableCother" localSheetId="18">#REF!</definedName>
    <definedName name="tableCother" localSheetId="13">#REF!</definedName>
    <definedName name="tableCother" localSheetId="20">'ES CT Electric 2022 Table C '!$K$7:$K$45</definedName>
    <definedName name="tableCother" localSheetId="21">#REF!</definedName>
    <definedName name="tableCother" localSheetId="14">#REF!</definedName>
    <definedName name="tableCother" localSheetId="15">#REF!</definedName>
    <definedName name="tableCother" localSheetId="22">'ES CT Electric 2023 Table C '!$K$7:$K$45</definedName>
    <definedName name="tableCother" localSheetId="23">#REF!</definedName>
    <definedName name="tableCother" localSheetId="16">#REF!</definedName>
    <definedName name="tableCother" localSheetId="19">#REF!</definedName>
    <definedName name="tableCother" localSheetId="24">'ES CT Electric 2024 Table C '!$K$7:$K$45</definedName>
    <definedName name="tableCother" localSheetId="25">#REF!</definedName>
    <definedName name="tableCother" localSheetId="10">'[4]2005 CLP Table C - Details '!$H$6:$H$61</definedName>
    <definedName name="tableCother" localSheetId="17">'ES CT Electric Table C 2021'!$K$7:$K$45</definedName>
    <definedName name="tableCother" localSheetId="11">#REF!</definedName>
    <definedName name="tableCother">#REF!</definedName>
    <definedName name="tableCother_labor" localSheetId="36">#REF!</definedName>
    <definedName name="tableCother_labor" localSheetId="1">#REF!</definedName>
    <definedName name="tableCother_labor" localSheetId="37">#REF!</definedName>
    <definedName name="tableCother_labor" localSheetId="2">#REF!</definedName>
    <definedName name="tableCother_labor" localSheetId="38">#REF!</definedName>
    <definedName name="tableCother_labor" localSheetId="40">#REF!</definedName>
    <definedName name="tableCother_labor" localSheetId="4">#REF!</definedName>
    <definedName name="tableCother_labor" localSheetId="39">#REF!</definedName>
    <definedName name="tableCother_labor" localSheetId="41">#REF!</definedName>
    <definedName name="tableCother_labor" localSheetId="6">#REF!</definedName>
    <definedName name="tableCother_labor" localSheetId="12">#REF!</definedName>
    <definedName name="tableCother_labor" localSheetId="18">#REF!</definedName>
    <definedName name="tableCother_labor" localSheetId="13">#REF!</definedName>
    <definedName name="tableCother_labor" localSheetId="20">'ES CT Electric 2022 Table C '!$H$7:$H$45</definedName>
    <definedName name="tableCother_labor" localSheetId="21">#REF!</definedName>
    <definedName name="tableCother_labor" localSheetId="14">#REF!</definedName>
    <definedName name="tableCother_labor" localSheetId="15">#REF!</definedName>
    <definedName name="tableCother_labor" localSheetId="22">'ES CT Electric 2023 Table C '!$H$7:$H$45</definedName>
    <definedName name="tableCother_labor" localSheetId="23">#REF!</definedName>
    <definedName name="tableCother_labor" localSheetId="16">#REF!</definedName>
    <definedName name="tableCother_labor" localSheetId="19">#REF!</definedName>
    <definedName name="tableCother_labor" localSheetId="24">'ES CT Electric 2024 Table C '!$H$7:$H$45</definedName>
    <definedName name="tableCother_labor" localSheetId="25">#REF!</definedName>
    <definedName name="tableCother_labor" localSheetId="10">'[4]2005 CLP Table C - Details '!$E$6:$E$61</definedName>
    <definedName name="tableCother_labor" localSheetId="17">'ES CT Electric Table C 2021'!$H$7:$H$45</definedName>
    <definedName name="tableCother_labor" localSheetId="11">#REF!</definedName>
    <definedName name="tableCother_labor">#REF!</definedName>
    <definedName name="tableCoutside_services" localSheetId="36">#REF!</definedName>
    <definedName name="tableCoutside_services" localSheetId="1">#REF!</definedName>
    <definedName name="tableCoutside_services" localSheetId="37">#REF!</definedName>
    <definedName name="tableCoutside_services" localSheetId="2">#REF!</definedName>
    <definedName name="tableCoutside_services" localSheetId="38">#REF!</definedName>
    <definedName name="tableCoutside_services" localSheetId="40">#REF!</definedName>
    <definedName name="tableCoutside_services" localSheetId="4">#REF!</definedName>
    <definedName name="tableCoutside_services" localSheetId="39">#REF!</definedName>
    <definedName name="tableCoutside_services" localSheetId="41">#REF!</definedName>
    <definedName name="tableCoutside_services" localSheetId="6">#REF!</definedName>
    <definedName name="tableCoutside_services" localSheetId="12">#REF!</definedName>
    <definedName name="tableCoutside_services" localSheetId="18">#REF!</definedName>
    <definedName name="tableCoutside_services" localSheetId="13">#REF!</definedName>
    <definedName name="tableCoutside_services" localSheetId="20">'ES CT Electric 2022 Table C '!$G$7:$G$45</definedName>
    <definedName name="tableCoutside_services" localSheetId="21">#REF!</definedName>
    <definedName name="tableCoutside_services" localSheetId="14">#REF!</definedName>
    <definedName name="tableCoutside_services" localSheetId="15">#REF!</definedName>
    <definedName name="tableCoutside_services" localSheetId="22">'ES CT Electric 2023 Table C '!$G$7:$G$45</definedName>
    <definedName name="tableCoutside_services" localSheetId="23">#REF!</definedName>
    <definedName name="tableCoutside_services" localSheetId="16">#REF!</definedName>
    <definedName name="tableCoutside_services" localSheetId="19">#REF!</definedName>
    <definedName name="tableCoutside_services" localSheetId="24">'ES CT Electric 2024 Table C '!$G$7:$G$45</definedName>
    <definedName name="tableCoutside_services" localSheetId="25">#REF!</definedName>
    <definedName name="tableCoutside_services" localSheetId="10">'[4]2005 CLP Table C - Details '!$D$6:$D$61</definedName>
    <definedName name="tableCoutside_services" localSheetId="17">'ES CT Electric Table C 2021'!$G$7:$G$45</definedName>
    <definedName name="tableCoutside_services" localSheetId="11">#REF!</definedName>
    <definedName name="tableCoutside_services">#REF!</definedName>
    <definedName name="tableCtype_of_service" localSheetId="36">#REF!</definedName>
    <definedName name="tableCtype_of_service" localSheetId="1">#REF!</definedName>
    <definedName name="tableCtype_of_service" localSheetId="37">#REF!</definedName>
    <definedName name="tableCtype_of_service" localSheetId="2">#REF!</definedName>
    <definedName name="tableCtype_of_service" localSheetId="38">#REF!</definedName>
    <definedName name="tableCtype_of_service" localSheetId="40">#REF!</definedName>
    <definedName name="tableCtype_of_service" localSheetId="4">#REF!</definedName>
    <definedName name="tableCtype_of_service" localSheetId="39">#REF!</definedName>
    <definedName name="tableCtype_of_service" localSheetId="41">#REF!</definedName>
    <definedName name="tableCtype_of_service" localSheetId="6">#REF!</definedName>
    <definedName name="tableCtype_of_service" localSheetId="12">#REF!</definedName>
    <definedName name="tableCtype_of_service" localSheetId="18">#REF!</definedName>
    <definedName name="tableCtype_of_service" localSheetId="13">#REF!</definedName>
    <definedName name="tableCtype_of_service" localSheetId="20">'ES CT Electric 2022 Table C '!$B$7:$B$45</definedName>
    <definedName name="tableCtype_of_service" localSheetId="21">#REF!</definedName>
    <definedName name="tableCtype_of_service" localSheetId="14">#REF!</definedName>
    <definedName name="tableCtype_of_service" localSheetId="15">#REF!</definedName>
    <definedName name="tableCtype_of_service" localSheetId="22">'ES CT Electric 2023 Table C '!$B$7:$B$45</definedName>
    <definedName name="tableCtype_of_service" localSheetId="23">#REF!</definedName>
    <definedName name="tableCtype_of_service" localSheetId="16">#REF!</definedName>
    <definedName name="tableCtype_of_service" localSheetId="19">#REF!</definedName>
    <definedName name="tableCtype_of_service" localSheetId="24">'ES CT Electric 2024 Table C '!$B$7:$B$45</definedName>
    <definedName name="tableCtype_of_service" localSheetId="25">#REF!</definedName>
    <definedName name="tableCtype_of_service" localSheetId="10">'[4]2005 CLP Table C - Details '!#REF!</definedName>
    <definedName name="tableCtype_of_service" localSheetId="17">'ES CT Electric Table C 2021'!$B$7:$B$45</definedName>
    <definedName name="tableCtype_of_service" localSheetId="11">#REF!</definedName>
    <definedName name="tableCtype_of_service">#REF!</definedName>
    <definedName name="TableENorstamdollar" localSheetId="36">#REF!</definedName>
    <definedName name="TableENorstamdollar" localSheetId="1">#REF!</definedName>
    <definedName name="TableENorstamdollar" localSheetId="37">#REF!</definedName>
    <definedName name="TableENorstamdollar" localSheetId="2">#REF!</definedName>
    <definedName name="TableENorstamdollar" localSheetId="38">#REF!</definedName>
    <definedName name="TableENorstamdollar" localSheetId="40">#REF!</definedName>
    <definedName name="TableENorstamdollar" localSheetId="4">#REF!</definedName>
    <definedName name="TableENorstamdollar" localSheetId="39">#REF!</definedName>
    <definedName name="TableENorstamdollar" localSheetId="41">#REF!</definedName>
    <definedName name="TableENorstamdollar" localSheetId="6">#REF!</definedName>
    <definedName name="TableENorstamdollar" localSheetId="12">#REF!</definedName>
    <definedName name="TableENorstamdollar" localSheetId="18">#REF!</definedName>
    <definedName name="TableENorstamdollar" localSheetId="13">#REF!</definedName>
    <definedName name="TableENorstamdollar" localSheetId="20">#REF!</definedName>
    <definedName name="TableENorstamdollar" localSheetId="21">#REF!</definedName>
    <definedName name="TableENorstamdollar" localSheetId="14">#REF!</definedName>
    <definedName name="TableENorstamdollar" localSheetId="15">#REF!</definedName>
    <definedName name="TableENorstamdollar" localSheetId="22">#REF!</definedName>
    <definedName name="TableENorstamdollar" localSheetId="23">#REF!</definedName>
    <definedName name="TableENorstamdollar" localSheetId="16">#REF!</definedName>
    <definedName name="TableENorstamdollar" localSheetId="19">#REF!</definedName>
    <definedName name="TableENorstamdollar" localSheetId="24">#REF!</definedName>
    <definedName name="TableENorstamdollar" localSheetId="25">#REF!</definedName>
    <definedName name="TableENorstamdollar" localSheetId="17">#REF!</definedName>
    <definedName name="TableENorstamdollar" localSheetId="11">#REF!</definedName>
    <definedName name="TableENorstamdollar">#REF!</definedName>
    <definedName name="tableEnorstamkw" localSheetId="36">#REF!</definedName>
    <definedName name="tableEnorstamkw" localSheetId="1">#REF!</definedName>
    <definedName name="tableEnorstamkw" localSheetId="37">#REF!</definedName>
    <definedName name="tableEnorstamkw" localSheetId="2">#REF!</definedName>
    <definedName name="tableEnorstamkw" localSheetId="38">#REF!</definedName>
    <definedName name="tableEnorstamkw" localSheetId="40">#REF!</definedName>
    <definedName name="tableEnorstamkw" localSheetId="4">#REF!</definedName>
    <definedName name="tableEnorstamkw" localSheetId="39">#REF!</definedName>
    <definedName name="tableEnorstamkw" localSheetId="41">#REF!</definedName>
    <definedName name="tableEnorstamkw" localSheetId="6">#REF!</definedName>
    <definedName name="tableEnorstamkw" localSheetId="12">#REF!</definedName>
    <definedName name="tableEnorstamkw" localSheetId="18">#REF!</definedName>
    <definedName name="tableEnorstamkw" localSheetId="13">#REF!</definedName>
    <definedName name="tableEnorstamkw" localSheetId="20">#REF!</definedName>
    <definedName name="tableEnorstamkw" localSheetId="21">#REF!</definedName>
    <definedName name="tableEnorstamkw" localSheetId="14">#REF!</definedName>
    <definedName name="tableEnorstamkw" localSheetId="15">#REF!</definedName>
    <definedName name="tableEnorstamkw" localSheetId="22">#REF!</definedName>
    <definedName name="tableEnorstamkw" localSheetId="23">#REF!</definedName>
    <definedName name="tableEnorstamkw" localSheetId="16">#REF!</definedName>
    <definedName name="tableEnorstamkw" localSheetId="19">#REF!</definedName>
    <definedName name="tableEnorstamkw" localSheetId="24">#REF!</definedName>
    <definedName name="tableEnorstamkw" localSheetId="25">#REF!</definedName>
    <definedName name="tableEnorstamkw" localSheetId="17">#REF!</definedName>
    <definedName name="tableEnorstamkw" localSheetId="11">#REF!</definedName>
    <definedName name="tableEnorstamkw">#REF!</definedName>
    <definedName name="tableESWCTDollar" localSheetId="36">#REF!</definedName>
    <definedName name="tableESWCTDollar" localSheetId="1">#REF!</definedName>
    <definedName name="tableESWCTDollar" localSheetId="37">#REF!</definedName>
    <definedName name="tableESWCTDollar" localSheetId="2">#REF!</definedName>
    <definedName name="tableESWCTDollar" localSheetId="38">#REF!</definedName>
    <definedName name="tableESWCTDollar" localSheetId="40">#REF!</definedName>
    <definedName name="tableESWCTDollar" localSheetId="4">#REF!</definedName>
    <definedName name="tableESWCTDollar" localSheetId="39">#REF!</definedName>
    <definedName name="tableESWCTDollar" localSheetId="41">#REF!</definedName>
    <definedName name="tableESWCTDollar" localSheetId="6">#REF!</definedName>
    <definedName name="tableESWCTDollar" localSheetId="12">#REF!</definedName>
    <definedName name="tableESWCTDollar" localSheetId="18">#REF!</definedName>
    <definedName name="tableESWCTDollar" localSheetId="13">#REF!</definedName>
    <definedName name="tableESWCTDollar" localSheetId="20">#REF!</definedName>
    <definedName name="tableESWCTDollar" localSheetId="21">#REF!</definedName>
    <definedName name="tableESWCTDollar" localSheetId="14">#REF!</definedName>
    <definedName name="tableESWCTDollar" localSheetId="15">#REF!</definedName>
    <definedName name="tableESWCTDollar" localSheetId="22">#REF!</definedName>
    <definedName name="tableESWCTDollar" localSheetId="23">#REF!</definedName>
    <definedName name="tableESWCTDollar" localSheetId="16">#REF!</definedName>
    <definedName name="tableESWCTDollar" localSheetId="19">#REF!</definedName>
    <definedName name="tableESWCTDollar" localSheetId="24">#REF!</definedName>
    <definedName name="tableESWCTDollar" localSheetId="25">#REF!</definedName>
    <definedName name="tableESWCTDollar" localSheetId="17">#REF!</definedName>
    <definedName name="tableESWCTDollar" localSheetId="11">#REF!</definedName>
    <definedName name="tableESWCTDollar">#REF!</definedName>
    <definedName name="TableESWCTkw" localSheetId="36">#REF!</definedName>
    <definedName name="TableESWCTkw" localSheetId="1">#REF!</definedName>
    <definedName name="TableESWCTkw" localSheetId="37">#REF!</definedName>
    <definedName name="TableESWCTkw" localSheetId="2">#REF!</definedName>
    <definedName name="TableESWCTkw" localSheetId="38">#REF!</definedName>
    <definedName name="TableESWCTkw" localSheetId="40">#REF!</definedName>
    <definedName name="TableESWCTkw" localSheetId="4">#REF!</definedName>
    <definedName name="TableESWCTkw" localSheetId="39">#REF!</definedName>
    <definedName name="TableESWCTkw" localSheetId="41">#REF!</definedName>
    <definedName name="TableESWCTkw" localSheetId="6">#REF!</definedName>
    <definedName name="TableESWCTkw" localSheetId="12">#REF!</definedName>
    <definedName name="TableESWCTkw" localSheetId="18">#REF!</definedName>
    <definedName name="TableESWCTkw" localSheetId="13">#REF!</definedName>
    <definedName name="TableESWCTkw" localSheetId="20">#REF!</definedName>
    <definedName name="TableESWCTkw" localSheetId="21">#REF!</definedName>
    <definedName name="TableESWCTkw" localSheetId="14">#REF!</definedName>
    <definedName name="TableESWCTkw" localSheetId="15">#REF!</definedName>
    <definedName name="TableESWCTkw" localSheetId="22">#REF!</definedName>
    <definedName name="TableESWCTkw" localSheetId="23">#REF!</definedName>
    <definedName name="TableESWCTkw" localSheetId="16">#REF!</definedName>
    <definedName name="TableESWCTkw" localSheetId="19">#REF!</definedName>
    <definedName name="TableESWCTkw" localSheetId="24">#REF!</definedName>
    <definedName name="TableESWCTkw" localSheetId="25">#REF!</definedName>
    <definedName name="TableESWCTkw" localSheetId="17">#REF!</definedName>
    <definedName name="TableESWCTkw" localSheetId="11">#REF!</definedName>
    <definedName name="TableESWCTkw">#REF!</definedName>
    <definedName name="tableEtype_of_service" localSheetId="36">#REF!</definedName>
    <definedName name="tableEtype_of_service" localSheetId="1">#REF!</definedName>
    <definedName name="tableEtype_of_service" localSheetId="37">#REF!</definedName>
    <definedName name="tableEtype_of_service" localSheetId="2">#REF!</definedName>
    <definedName name="tableEtype_of_service" localSheetId="38">#REF!</definedName>
    <definedName name="tableEtype_of_service" localSheetId="40">#REF!</definedName>
    <definedName name="tableEtype_of_service" localSheetId="4">#REF!</definedName>
    <definedName name="tableEtype_of_service" localSheetId="39">#REF!</definedName>
    <definedName name="tableEtype_of_service" localSheetId="41">#REF!</definedName>
    <definedName name="tableEtype_of_service" localSheetId="6">#REF!</definedName>
    <definedName name="tableEtype_of_service" localSheetId="12">#REF!</definedName>
    <definedName name="tableEtype_of_service" localSheetId="18">#REF!</definedName>
    <definedName name="tableEtype_of_service" localSheetId="13">#REF!</definedName>
    <definedName name="tableEtype_of_service" localSheetId="20">#REF!</definedName>
    <definedName name="tableEtype_of_service" localSheetId="21">#REF!</definedName>
    <definedName name="tableEtype_of_service" localSheetId="14">#REF!</definedName>
    <definedName name="tableEtype_of_service" localSheetId="15">#REF!</definedName>
    <definedName name="tableEtype_of_service" localSheetId="22">#REF!</definedName>
    <definedName name="tableEtype_of_service" localSheetId="23">#REF!</definedName>
    <definedName name="tableEtype_of_service" localSheetId="16">#REF!</definedName>
    <definedName name="tableEtype_of_service" localSheetId="19">#REF!</definedName>
    <definedName name="tableEtype_of_service" localSheetId="24">#REF!</definedName>
    <definedName name="tableEtype_of_service" localSheetId="25">#REF!</definedName>
    <definedName name="tableEtype_of_service" localSheetId="17">#REF!</definedName>
    <definedName name="tableEtype_of_service" localSheetId="11">#REF!</definedName>
    <definedName name="tableEtype_of_service">#REF!</definedName>
    <definedName name="tavleACLP2005" localSheetId="36">#REF!</definedName>
    <definedName name="tavleACLP2005" localSheetId="1">#REF!</definedName>
    <definedName name="tavleACLP2005" localSheetId="37">#REF!</definedName>
    <definedName name="tavleACLP2005" localSheetId="2">#REF!</definedName>
    <definedName name="tavleACLP2005" localSheetId="38">#REF!</definedName>
    <definedName name="tavleACLP2005" localSheetId="40">#REF!</definedName>
    <definedName name="tavleACLP2005" localSheetId="4">#REF!</definedName>
    <definedName name="tavleACLP2005" localSheetId="39">#REF!</definedName>
    <definedName name="tavleACLP2005" localSheetId="41">#REF!</definedName>
    <definedName name="tavleACLP2005" localSheetId="6">#REF!</definedName>
    <definedName name="tavleACLP2005" localSheetId="12">#REF!</definedName>
    <definedName name="tavleACLP2005" localSheetId="18">#REF!</definedName>
    <definedName name="tavleACLP2005" localSheetId="13">#REF!</definedName>
    <definedName name="tavleACLP2005" localSheetId="20">#REF!</definedName>
    <definedName name="tavleACLP2005" localSheetId="21">#REF!</definedName>
    <definedName name="tavleACLP2005" localSheetId="14">#REF!</definedName>
    <definedName name="tavleACLP2005" localSheetId="15">#REF!</definedName>
    <definedName name="tavleACLP2005" localSheetId="22">#REF!</definedName>
    <definedName name="tavleACLP2005" localSheetId="23">#REF!</definedName>
    <definedName name="tavleACLP2005" localSheetId="16">#REF!</definedName>
    <definedName name="tavleACLP2005" localSheetId="19">#REF!</definedName>
    <definedName name="tavleACLP2005" localSheetId="24">#REF!</definedName>
    <definedName name="tavleACLP2005" localSheetId="25">#REF!</definedName>
    <definedName name="tavleACLP2005" localSheetId="10">'ES CT Electric Table A  '!#REF!</definedName>
    <definedName name="tavleACLP2005" localSheetId="17">#REF!</definedName>
    <definedName name="tavleACLP2005" localSheetId="11">#REF!</definedName>
    <definedName name="tavleACLP2005">#REF!</definedName>
    <definedName name="TM1REBUILDOPTION">1</definedName>
    <definedName name="type_of_service" localSheetId="36">#REF!</definedName>
    <definedName name="type_of_service" localSheetId="1">#REF!</definedName>
    <definedName name="type_of_service" localSheetId="37">#REF!</definedName>
    <definedName name="type_of_service" localSheetId="2">#REF!</definedName>
    <definedName name="type_of_service" localSheetId="38">#REF!</definedName>
    <definedName name="type_of_service" localSheetId="40">#REF!</definedName>
    <definedName name="type_of_service" localSheetId="4">#REF!</definedName>
    <definedName name="type_of_service" localSheetId="39">#REF!</definedName>
    <definedName name="type_of_service" localSheetId="41">#REF!</definedName>
    <definedName name="type_of_service" localSheetId="6">#REF!</definedName>
    <definedName name="type_of_service" localSheetId="12">#REF!</definedName>
    <definedName name="type_of_service" localSheetId="18">#REF!</definedName>
    <definedName name="type_of_service" localSheetId="13">#REF!</definedName>
    <definedName name="type_of_service" localSheetId="20">#REF!</definedName>
    <definedName name="type_of_service" localSheetId="21">#REF!</definedName>
    <definedName name="type_of_service" localSheetId="14">#REF!</definedName>
    <definedName name="type_of_service" localSheetId="15">#REF!</definedName>
    <definedName name="type_of_service" localSheetId="22">#REF!</definedName>
    <definedName name="type_of_service" localSheetId="23">#REF!</definedName>
    <definedName name="type_of_service" localSheetId="16">#REF!</definedName>
    <definedName name="type_of_service" localSheetId="19">#REF!</definedName>
    <definedName name="type_of_service" localSheetId="24">#REF!</definedName>
    <definedName name="type_of_service" localSheetId="25">#REF!</definedName>
    <definedName name="type_of_service" localSheetId="10">'[4]2005 CLP Table D - Marketing'!#REF!</definedName>
    <definedName name="type_of_service" localSheetId="17">#REF!</definedName>
    <definedName name="type_of_service" localSheetId="11">#REF!</definedName>
    <definedName name="type_of_service">#REF!</definedName>
    <definedName name="wgl" localSheetId="37" hidden="1">{#N/A,#N/A,FALSE,"GLDwnLoad"}</definedName>
    <definedName name="wgl" hidden="1">{#N/A,#N/A,FALSE,"GLDwnLoad"}</definedName>
    <definedName name="win" localSheetId="37" hidden="1">{#N/A,#N/A,FALSE,"OTHERINPUTS";#N/A,#N/A,FALSE,"DITRATEINPUTS";#N/A,#N/A,FALSE,"SUPPLIEDADJINPUT";#N/A,#N/A,FALSE,"TIMINGDIFFINPUTS";#N/A,#N/A,FALSE,"BR&amp;SUPADJ."}</definedName>
    <definedName name="win" hidden="1">{#N/A,#N/A,FALSE,"OTHERINPUTS";#N/A,#N/A,FALSE,"DITRATEINPUTS";#N/A,#N/A,FALSE,"SUPPLIEDADJINPUT";#N/A,#N/A,FALSE,"TIMINGDIFFINPUTS";#N/A,#N/A,FALSE,"BR&amp;SUPADJ."}</definedName>
    <definedName name="wp" localSheetId="37"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 localSheetId="37" hidden="1">{#N/A,#N/A,FALSE,"RORMEMO";#N/A,#N/A,FALSE,"RORSUMMARY";#N/A,#N/A,FALSE,"RORDETAIL"}</definedName>
    <definedName name="wr" hidden="1">{#N/A,#N/A,FALSE,"RORMEMO";#N/A,#N/A,FALSE,"RORSUMMARY";#N/A,#N/A,FALSE,"RORDETAIL"}</definedName>
    <definedName name="wrn.CLP_GL." localSheetId="37" hidden="1">{#N/A,#N/A,FALSE,"GLDwnLoad"}</definedName>
    <definedName name="wrn.CLP_GL." hidden="1">{#N/A,#N/A,FALSE,"GLDwnLoad"}</definedName>
    <definedName name="wrn.CLP_INPUTS." localSheetId="37" hidden="1">{#N/A,#N/A,FALSE,"OTHERINPUTS";#N/A,#N/A,FALSE,"DITRATEINPUTS";#N/A,#N/A,FALSE,"SUPPLIEDADJINPUT";#N/A,#N/A,FALSE,"TIMINGDIFFINPUTS";#N/A,#N/A,FALSE,"BR&amp;SUPADJ."}</definedName>
    <definedName name="wrn.CLP_INPUTS." hidden="1">{#N/A,#N/A,FALSE,"OTHERINPUTS";#N/A,#N/A,FALSE,"DITRATEINPUTS";#N/A,#N/A,FALSE,"SUPPLIEDADJINPUT";#N/A,#N/A,FALSE,"TIMINGDIFFINPUTS";#N/A,#N/A,FALSE,"BR&amp;SUPADJ."}</definedName>
    <definedName name="wrn.CLP_PROV." localSheetId="37"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LP_PROV."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ROR_MEMO." localSheetId="37" hidden="1">{#N/A,#N/A,FALSE,"RORMEMO";#N/A,#N/A,FALSE,"RORSUMMARY";#N/A,#N/A,FALSE,"RORDETAIL"}</definedName>
    <definedName name="wrn.ROR_MEMO." hidden="1">{#N/A,#N/A,FALSE,"RORMEMO";#N/A,#N/A,FALSE,"RORSUMMARY";#N/A,#N/A,FALSE,"RORDETAIL"}</definedName>
    <definedName name="wrn.WMECO_GL." localSheetId="37" hidden="1">{#N/A,#N/A,FALSE,"GLDwnLoad"}</definedName>
    <definedName name="wrn.WMECO_GL." hidden="1">{#N/A,#N/A,FALSE,"GLDwnLoad"}</definedName>
    <definedName name="wrn.WMECO_INPUTS." localSheetId="37" hidden="1">{#N/A,#N/A,FALSE,"OTHERINPUTS";#N/A,#N/A,FALSE,"DITRATEINPUTS";#N/A,#N/A,FALSE,"SUPPLIEDADJINPUT";#N/A,#N/A,FALSE,"TIMINGDIFFINPUTS";#N/A,#N/A,FALSE,"BR&amp;SUPADJ."}</definedName>
    <definedName name="wrn.WMECO_INPUTS." hidden="1">{#N/A,#N/A,FALSE,"OTHERINPUTS";#N/A,#N/A,FALSE,"DITRATEINPUTS";#N/A,#N/A,FALSE,"SUPPLIEDADJINPUT";#N/A,#N/A,FALSE,"TIMINGDIFFINPUTS";#N/A,#N/A,FALSE,"BR&amp;SUPADJ."}</definedName>
    <definedName name="wrn.WMECO_PROV." localSheetId="37"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WMECO_PROV."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YTDActual" localSheetId="36">#REF!</definedName>
    <definedName name="YTDActual" localSheetId="1">#REF!</definedName>
    <definedName name="YTDActual" localSheetId="37">#REF!</definedName>
    <definedName name="YTDActual" localSheetId="2">#REF!</definedName>
    <definedName name="YTDActual" localSheetId="38">#REF!</definedName>
    <definedName name="YTDActual" localSheetId="40">#REF!</definedName>
    <definedName name="YTDActual" localSheetId="4">#REF!</definedName>
    <definedName name="YTDActual" localSheetId="39">#REF!</definedName>
    <definedName name="YTDActual" localSheetId="41">#REF!</definedName>
    <definedName name="YTDActual" localSheetId="6">#REF!</definedName>
    <definedName name="YTDActual" localSheetId="12">#REF!</definedName>
    <definedName name="YTDActual" localSheetId="18">#REF!</definedName>
    <definedName name="YTDActual" localSheetId="13">#REF!</definedName>
    <definedName name="YTDActual" localSheetId="20">#REF!</definedName>
    <definedName name="YTDActual" localSheetId="21">#REF!</definedName>
    <definedName name="YTDActual" localSheetId="14">#REF!</definedName>
    <definedName name="YTDActual" localSheetId="15">#REF!</definedName>
    <definedName name="YTDActual" localSheetId="22">#REF!</definedName>
    <definedName name="YTDActual" localSheetId="23">#REF!</definedName>
    <definedName name="YTDActual" localSheetId="16">#REF!</definedName>
    <definedName name="YTDActual" localSheetId="19">#REF!</definedName>
    <definedName name="YTDActual" localSheetId="24">#REF!</definedName>
    <definedName name="YTDActual" localSheetId="25">#REF!</definedName>
    <definedName name="YTDActual" localSheetId="17">#REF!</definedName>
    <definedName name="YTDActual">#REF!</definedName>
    <definedName name="ytdcc" localSheetId="36">#REF!</definedName>
    <definedName name="ytdcc" localSheetId="1">#REF!</definedName>
    <definedName name="ytdcc" localSheetId="37">#REF!</definedName>
    <definedName name="ytdcc" localSheetId="2">#REF!</definedName>
    <definedName name="ytdcc" localSheetId="38">#REF!</definedName>
    <definedName name="ytdcc" localSheetId="40">#REF!</definedName>
    <definedName name="ytdcc" localSheetId="4">#REF!</definedName>
    <definedName name="ytdcc" localSheetId="39">#REF!</definedName>
    <definedName name="ytdcc" localSheetId="41">#REF!</definedName>
    <definedName name="ytdcc" localSheetId="6">#REF!</definedName>
    <definedName name="ytdcc" localSheetId="12">#REF!</definedName>
    <definedName name="ytdcc" localSheetId="18">#REF!</definedName>
    <definedName name="ytdcc" localSheetId="13">#REF!</definedName>
    <definedName name="ytdcc" localSheetId="20">#REF!</definedName>
    <definedName name="ytdcc" localSheetId="21">#REF!</definedName>
    <definedName name="ytdcc" localSheetId="14">#REF!</definedName>
    <definedName name="ytdcc" localSheetId="15">#REF!</definedName>
    <definedName name="ytdcc" localSheetId="22">#REF!</definedName>
    <definedName name="ytdcc" localSheetId="23">#REF!</definedName>
    <definedName name="ytdcc" localSheetId="16">#REF!</definedName>
    <definedName name="ytdcc" localSheetId="19">#REF!</definedName>
    <definedName name="ytdcc" localSheetId="24">#REF!</definedName>
    <definedName name="ytdcc" localSheetId="25">#REF!</definedName>
    <definedName name="ytdcc" localSheetId="17">#REF!</definedName>
    <definedName name="ytdcc" localSheetId="11">#REF!</definedName>
    <definedName name="ytdcc">#REF!</definedName>
    <definedName name="Z_D2F95F47_E6D4_11D4_AE5C_97D8D8C33B07_.wvu.Cols" localSheetId="9" hidden="1">' 2021 - 2024 Comb Revenues A2'!#REF!</definedName>
    <definedName name="Z_D2F95F47_E6D4_11D4_AE5C_97D8D8C33B07_.wvu.Cols" localSheetId="0" hidden="1">' 2022 - 2024 Combined Table A1'!#REF!</definedName>
    <definedName name="Z_D2F95F47_E6D4_11D4_AE5C_97D8D8C33B07_.wvu.Cols" localSheetId="8" hidden="1">'2022-2025 Comb Revenues'!#REF!</definedName>
    <definedName name="Z_D2F95F47_E6D4_11D4_AE5C_97D8D8C33B07_.wvu.Cols" localSheetId="10" hidden="1">'ES CT Electric Table A  '!#REF!</definedName>
    <definedName name="Z_D2F95F47_E6D4_11D4_AE5C_97D8D8C33B07_.wvu.PrintArea" localSheetId="9" hidden="1">' 2021 - 2024 Comb Revenues A2'!$E$3:$F$71</definedName>
    <definedName name="Z_D2F95F47_E6D4_11D4_AE5C_97D8D8C33B07_.wvu.PrintArea" localSheetId="0" hidden="1">' 2022 - 2024 Combined Table A1'!$A$3:$C$57</definedName>
    <definedName name="Z_D2F95F47_E6D4_11D4_AE5C_97D8D8C33B07_.wvu.PrintArea" localSheetId="8" hidden="1">'2022-2025 Comb Revenues'!$E$3:$F$71</definedName>
    <definedName name="Z_D2F95F47_E6D4_11D4_AE5C_97D8D8C33B07_.wvu.PrintArea" localSheetId="10" hidden="1">'ES CT Electric Table A  '!$A$2:$D$56</definedName>
  </definedNames>
  <calcPr calcId="191029"/>
  <customWorkbookViews>
    <customWorkbookView name="Northeast Utilities - Personal View" guid="{4B4DD22E-0597-11D6-8A0C-B402BE90843A}" mergeInterval="0" personalView="1" xWindow="5" yWindow="24" windowWidth="484" windowHeight="552"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8" i="183" l="1"/>
  <c r="E88" i="183"/>
  <c r="G43" i="183"/>
  <c r="E43" i="183"/>
  <c r="G88" i="182"/>
  <c r="E88" i="182"/>
  <c r="G43" i="182"/>
  <c r="E43" i="182"/>
  <c r="E95" i="187"/>
  <c r="J91" i="187"/>
  <c r="I91" i="187"/>
  <c r="G91" i="187"/>
  <c r="E91" i="187"/>
  <c r="J87" i="187"/>
  <c r="I87" i="187"/>
  <c r="J86" i="187"/>
  <c r="I86" i="187"/>
  <c r="J85" i="187"/>
  <c r="I85" i="187"/>
  <c r="J84" i="187"/>
  <c r="I84" i="187"/>
  <c r="E47" i="187"/>
  <c r="J43" i="187"/>
  <c r="I43" i="187"/>
  <c r="G43" i="187"/>
  <c r="E43" i="187"/>
  <c r="J38" i="187"/>
  <c r="I38" i="187"/>
  <c r="J37" i="187"/>
  <c r="I37" i="187"/>
  <c r="J36" i="187"/>
  <c r="I36" i="187"/>
  <c r="J35" i="187"/>
  <c r="I35" i="187"/>
  <c r="J34" i="187"/>
  <c r="I34" i="187"/>
  <c r="J33" i="187"/>
  <c r="I33" i="187"/>
  <c r="E95" i="186"/>
  <c r="G94" i="186"/>
  <c r="J91" i="186"/>
  <c r="G91" i="186"/>
  <c r="E91" i="186"/>
  <c r="J87" i="186"/>
  <c r="I87" i="186"/>
  <c r="J86" i="186"/>
  <c r="I86" i="186"/>
  <c r="J85" i="186"/>
  <c r="I85" i="186"/>
  <c r="J84" i="186"/>
  <c r="I84" i="186"/>
  <c r="E47" i="186"/>
  <c r="J43" i="186"/>
  <c r="I43" i="186"/>
  <c r="G43" i="186"/>
  <c r="E43" i="186"/>
  <c r="J38" i="186"/>
  <c r="I38" i="186"/>
  <c r="J37" i="186"/>
  <c r="I37" i="186"/>
  <c r="J36" i="186"/>
  <c r="I36" i="186"/>
  <c r="J35" i="186"/>
  <c r="I35" i="186"/>
  <c r="J34" i="186"/>
  <c r="I34" i="186"/>
  <c r="J33" i="186"/>
  <c r="I33" i="186"/>
  <c r="E95" i="189"/>
  <c r="G94" i="189"/>
  <c r="J91" i="189"/>
  <c r="I91" i="189"/>
  <c r="G91" i="189"/>
  <c r="E91" i="189"/>
  <c r="J87" i="189"/>
  <c r="I87" i="189"/>
  <c r="J86" i="189"/>
  <c r="I86" i="189"/>
  <c r="J85" i="189"/>
  <c r="I85" i="189"/>
  <c r="J84" i="189"/>
  <c r="I84" i="189"/>
  <c r="E47" i="189"/>
  <c r="J43" i="189"/>
  <c r="I43" i="189"/>
  <c r="G43" i="189"/>
  <c r="E43" i="189"/>
  <c r="J38" i="189"/>
  <c r="I38" i="189"/>
  <c r="J37" i="189"/>
  <c r="I37" i="189"/>
  <c r="J36" i="189"/>
  <c r="I36" i="189"/>
  <c r="J35" i="189"/>
  <c r="I35" i="189"/>
  <c r="J34" i="189"/>
  <c r="I34" i="189"/>
  <c r="J33" i="189"/>
  <c r="I33" i="189"/>
  <c r="J20" i="185"/>
  <c r="I20" i="185"/>
  <c r="H20" i="185"/>
  <c r="J19" i="185"/>
  <c r="I19" i="185"/>
  <c r="H19" i="185"/>
  <c r="J18" i="185"/>
  <c r="I18" i="185"/>
  <c r="H18" i="185"/>
  <c r="J17" i="185"/>
  <c r="I17" i="185"/>
  <c r="H17" i="185"/>
  <c r="J14" i="185"/>
  <c r="I14" i="185"/>
  <c r="H14" i="185"/>
  <c r="J13" i="185"/>
  <c r="I13" i="185"/>
  <c r="H13" i="185"/>
  <c r="J12" i="185"/>
  <c r="I12" i="185"/>
  <c r="H12" i="185"/>
  <c r="J11" i="185"/>
  <c r="I11" i="185"/>
  <c r="H11" i="185"/>
  <c r="J10" i="185"/>
  <c r="I10" i="185"/>
  <c r="H10" i="185"/>
  <c r="J9" i="185"/>
  <c r="I9" i="185"/>
  <c r="H9" i="185"/>
  <c r="J20" i="184"/>
  <c r="I20" i="184"/>
  <c r="H20" i="184"/>
  <c r="J19" i="184"/>
  <c r="I19" i="184"/>
  <c r="H19" i="184"/>
  <c r="J18" i="184"/>
  <c r="I18" i="184"/>
  <c r="H18" i="184"/>
  <c r="J17" i="184"/>
  <c r="I17" i="184"/>
  <c r="H17" i="184"/>
  <c r="J14" i="184"/>
  <c r="I14" i="184"/>
  <c r="H14" i="184"/>
  <c r="J13" i="184"/>
  <c r="I13" i="184"/>
  <c r="H13" i="184"/>
  <c r="J12" i="184"/>
  <c r="I12" i="184"/>
  <c r="H12" i="184"/>
  <c r="J11" i="184"/>
  <c r="I11" i="184"/>
  <c r="H11" i="184"/>
  <c r="J10" i="184"/>
  <c r="I10" i="184"/>
  <c r="H10" i="184"/>
  <c r="J9" i="184"/>
  <c r="I9" i="184"/>
  <c r="H9" i="184"/>
  <c r="P35" i="108"/>
  <c r="O35" i="108"/>
  <c r="N35" i="108"/>
  <c r="P34" i="108"/>
  <c r="O34" i="108"/>
  <c r="N34" i="108"/>
  <c r="P30" i="108"/>
  <c r="O30" i="108"/>
  <c r="N30" i="108"/>
  <c r="P29" i="108"/>
  <c r="O29" i="108"/>
  <c r="N29" i="108"/>
  <c r="P28" i="108"/>
  <c r="O28" i="108"/>
  <c r="N28" i="108"/>
  <c r="P27" i="108"/>
  <c r="O27" i="108"/>
  <c r="N27" i="108"/>
  <c r="P24" i="108"/>
  <c r="O24" i="108"/>
  <c r="N24" i="108"/>
  <c r="P23" i="108"/>
  <c r="O23" i="108"/>
  <c r="N23" i="108"/>
  <c r="N21" i="108"/>
  <c r="P19" i="108"/>
  <c r="O19" i="108"/>
  <c r="N19" i="108"/>
  <c r="P18" i="108"/>
  <c r="O18" i="108"/>
  <c r="N18" i="108"/>
  <c r="P10" i="108"/>
  <c r="O10" i="108"/>
  <c r="N10" i="108"/>
  <c r="P9" i="108"/>
  <c r="O9" i="108"/>
  <c r="N9" i="108"/>
  <c r="P19" i="120"/>
  <c r="O19" i="120"/>
  <c r="N19" i="120"/>
  <c r="P18" i="120"/>
  <c r="O18" i="120"/>
  <c r="N18" i="120"/>
  <c r="P17" i="120"/>
  <c r="O17" i="120"/>
  <c r="N17" i="120"/>
  <c r="P16" i="120"/>
  <c r="O16" i="120"/>
  <c r="N16" i="120"/>
  <c r="P13" i="120"/>
  <c r="O13" i="120"/>
  <c r="N13" i="120"/>
  <c r="P12" i="120"/>
  <c r="O12" i="120"/>
  <c r="N12" i="120"/>
  <c r="P11" i="120"/>
  <c r="O11" i="120"/>
  <c r="N11" i="120"/>
  <c r="P10" i="120"/>
  <c r="O10" i="120"/>
  <c r="N10" i="120"/>
  <c r="P9" i="120"/>
  <c r="O9" i="120"/>
  <c r="N9" i="120"/>
  <c r="P8" i="120"/>
  <c r="O8" i="120"/>
  <c r="N8" i="120"/>
  <c r="P20" i="88"/>
  <c r="O20" i="88"/>
  <c r="N20" i="88"/>
  <c r="P19" i="88"/>
  <c r="O19" i="88"/>
  <c r="N19" i="88"/>
  <c r="P18" i="88"/>
  <c r="O18" i="88"/>
  <c r="N18" i="88"/>
  <c r="P17" i="88"/>
  <c r="O17" i="88"/>
  <c r="N17" i="88"/>
  <c r="P14" i="88"/>
  <c r="O14" i="88"/>
  <c r="N14" i="88"/>
  <c r="P13" i="88"/>
  <c r="O13" i="88"/>
  <c r="N13" i="88"/>
  <c r="P12" i="88"/>
  <c r="O12" i="88"/>
  <c r="N12" i="88"/>
  <c r="P11" i="88"/>
  <c r="O11" i="88"/>
  <c r="N11" i="88"/>
  <c r="P10" i="88"/>
  <c r="O10" i="88"/>
  <c r="N10" i="88"/>
  <c r="P9" i="88"/>
  <c r="O9" i="88"/>
  <c r="N9" i="88"/>
  <c r="P24" i="119"/>
  <c r="O24" i="119"/>
  <c r="N24" i="119"/>
  <c r="P23" i="119"/>
  <c r="O23" i="119"/>
  <c r="N23" i="119"/>
  <c r="P19" i="119"/>
  <c r="O19" i="119"/>
  <c r="N19" i="119"/>
  <c r="P18" i="119"/>
  <c r="O18" i="119"/>
  <c r="N18" i="119"/>
  <c r="P17" i="119"/>
  <c r="O17" i="119"/>
  <c r="N17" i="119"/>
  <c r="P16" i="119"/>
  <c r="O16" i="119"/>
  <c r="N16" i="119"/>
  <c r="P13" i="119"/>
  <c r="O13" i="119"/>
  <c r="N13" i="119"/>
  <c r="P12" i="119"/>
  <c r="O12" i="119"/>
  <c r="N12" i="119"/>
  <c r="P11" i="119"/>
  <c r="O11" i="119"/>
  <c r="N11" i="119"/>
  <c r="P10" i="119"/>
  <c r="O10" i="119"/>
  <c r="N10" i="119"/>
  <c r="P9" i="119"/>
  <c r="O9" i="119"/>
  <c r="N9" i="119"/>
  <c r="P8" i="119"/>
  <c r="O8" i="119"/>
  <c r="N8" i="119"/>
  <c r="C119" i="187"/>
  <c r="C108" i="187"/>
  <c r="C102" i="187"/>
  <c r="C97" i="187"/>
  <c r="C94" i="187"/>
  <c r="C84" i="187"/>
  <c r="C76" i="187"/>
  <c r="C63" i="187"/>
  <c r="C56" i="187"/>
  <c r="C49" i="187"/>
  <c r="C46" i="187"/>
  <c r="C31" i="187"/>
  <c r="C17" i="187"/>
  <c r="C119" i="186"/>
  <c r="C108" i="186"/>
  <c r="C102" i="186"/>
  <c r="C97" i="186"/>
  <c r="C94" i="186"/>
  <c r="C84" i="186"/>
  <c r="C76" i="186"/>
  <c r="C63" i="186"/>
  <c r="C56" i="186"/>
  <c r="C49" i="186"/>
  <c r="C46" i="186"/>
  <c r="C31" i="186"/>
  <c r="C17" i="186"/>
  <c r="D49" i="195" l="1"/>
  <c r="D48" i="195"/>
  <c r="D44" i="195"/>
  <c r="D34" i="195"/>
  <c r="D31" i="195"/>
  <c r="D30" i="195"/>
  <c r="D49" i="194"/>
  <c r="D48" i="194"/>
  <c r="D44" i="194"/>
  <c r="D34" i="194"/>
  <c r="D31" i="194"/>
  <c r="D30" i="194"/>
  <c r="D45" i="194" l="1"/>
  <c r="D39" i="194"/>
  <c r="G31" i="194"/>
  <c r="G30" i="194"/>
  <c r="G32" i="194" s="1"/>
  <c r="D45" i="195"/>
  <c r="D39" i="195"/>
  <c r="G31" i="195"/>
  <c r="G30" i="195"/>
  <c r="G32" i="195" s="1"/>
  <c r="D32" i="195"/>
  <c r="D49" i="193"/>
  <c r="D48" i="193"/>
  <c r="D44" i="193"/>
  <c r="D45" i="193" s="1"/>
  <c r="D34" i="193"/>
  <c r="D39" i="193" s="1"/>
  <c r="D31" i="193"/>
  <c r="G30" i="193"/>
  <c r="G32" i="193" s="1"/>
  <c r="D30" i="193"/>
  <c r="N19" i="48"/>
  <c r="N18" i="48"/>
  <c r="N21" i="48"/>
  <c r="N14" i="48"/>
  <c r="N13" i="48"/>
  <c r="N10" i="48"/>
  <c r="O8" i="87" s="1"/>
  <c r="Q55" i="87"/>
  <c r="Q54" i="87"/>
  <c r="Q53" i="87"/>
  <c r="Q52" i="87"/>
  <c r="Q51" i="87"/>
  <c r="Q50" i="87"/>
  <c r="Q49" i="87"/>
  <c r="Q48" i="87"/>
  <c r="Q47" i="87"/>
  <c r="Q39" i="87"/>
  <c r="Q38" i="87"/>
  <c r="Q37" i="87"/>
  <c r="Q30" i="87"/>
  <c r="Q29" i="87"/>
  <c r="Q28" i="87"/>
  <c r="Q27" i="87"/>
  <c r="Q25" i="87"/>
  <c r="Q24" i="87"/>
  <c r="Q23" i="87"/>
  <c r="Q19" i="87"/>
  <c r="Q18" i="87"/>
  <c r="Q17" i="87"/>
  <c r="Q16" i="87"/>
  <c r="Q13" i="87"/>
  <c r="Q12" i="87"/>
  <c r="Q11" i="87"/>
  <c r="Q10" i="87"/>
  <c r="Q9" i="87"/>
  <c r="Q8" i="87"/>
  <c r="P55" i="87"/>
  <c r="P54" i="87"/>
  <c r="P53" i="87"/>
  <c r="P52" i="87"/>
  <c r="P51" i="87"/>
  <c r="P50" i="87"/>
  <c r="P49" i="87"/>
  <c r="P48" i="87"/>
  <c r="P47" i="87"/>
  <c r="P39" i="87"/>
  <c r="P38" i="87"/>
  <c r="P37" i="87"/>
  <c r="P30" i="87"/>
  <c r="P29" i="87"/>
  <c r="P28" i="87"/>
  <c r="P27" i="87"/>
  <c r="P24" i="87"/>
  <c r="P23" i="87"/>
  <c r="P19" i="87"/>
  <c r="P18" i="87"/>
  <c r="P17" i="87"/>
  <c r="P16" i="87"/>
  <c r="P13" i="87"/>
  <c r="P12" i="87"/>
  <c r="P11" i="87"/>
  <c r="P10" i="87"/>
  <c r="P9" i="87"/>
  <c r="P8" i="87"/>
  <c r="O55" i="87"/>
  <c r="O54" i="87"/>
  <c r="O53" i="87"/>
  <c r="O52" i="87"/>
  <c r="O51" i="87"/>
  <c r="O50" i="87"/>
  <c r="O49" i="87"/>
  <c r="O48" i="87"/>
  <c r="O47" i="87"/>
  <c r="O39" i="87"/>
  <c r="O38" i="87"/>
  <c r="O37" i="87"/>
  <c r="O30" i="87"/>
  <c r="O29" i="87"/>
  <c r="O28" i="87"/>
  <c r="O27" i="87"/>
  <c r="O24" i="87"/>
  <c r="O23" i="87"/>
  <c r="O19" i="87"/>
  <c r="O18" i="87"/>
  <c r="O17" i="87"/>
  <c r="O16" i="87"/>
  <c r="O13" i="87"/>
  <c r="O12" i="87"/>
  <c r="O11" i="87"/>
  <c r="O10" i="87"/>
  <c r="O9" i="87"/>
  <c r="D15" i="186"/>
  <c r="D14" i="186"/>
  <c r="D13" i="186"/>
  <c r="D12" i="186"/>
  <c r="D11" i="186"/>
  <c r="D10" i="186"/>
  <c r="D9" i="186"/>
  <c r="D8" i="186"/>
  <c r="D15" i="189"/>
  <c r="D14" i="189"/>
  <c r="D41" i="195" l="1"/>
  <c r="D47" i="195" s="1"/>
  <c r="E48" i="195" s="1"/>
  <c r="G34" i="194"/>
  <c r="D32" i="194"/>
  <c r="D41" i="194" s="1"/>
  <c r="G34" i="195"/>
  <c r="G34" i="193"/>
  <c r="D32" i="193"/>
  <c r="D41" i="193" s="1"/>
  <c r="F31" i="193" s="1"/>
  <c r="H31" i="193" s="1"/>
  <c r="Q56" i="87"/>
  <c r="Q60" i="87"/>
  <c r="Q35" i="87"/>
  <c r="Q20" i="87"/>
  <c r="Q14" i="87"/>
  <c r="F30" i="195" l="1"/>
  <c r="F34" i="195"/>
  <c r="F37" i="195" s="1"/>
  <c r="F31" i="195"/>
  <c r="H31" i="195" s="1"/>
  <c r="E44" i="195"/>
  <c r="E45" i="195" s="1"/>
  <c r="E30" i="195"/>
  <c r="F31" i="194"/>
  <c r="H31" i="194" s="1"/>
  <c r="F34" i="194"/>
  <c r="F30" i="194"/>
  <c r="G39" i="194"/>
  <c r="G41" i="194" s="1"/>
  <c r="G36" i="194"/>
  <c r="G35" i="194"/>
  <c r="G38" i="194"/>
  <c r="G37" i="194"/>
  <c r="D47" i="194"/>
  <c r="F32" i="195"/>
  <c r="H30" i="195"/>
  <c r="H32" i="195" s="1"/>
  <c r="G39" i="195"/>
  <c r="G41" i="195" s="1"/>
  <c r="G36" i="195"/>
  <c r="G35" i="195"/>
  <c r="G38" i="195"/>
  <c r="G37" i="195"/>
  <c r="F39" i="195"/>
  <c r="F36" i="195"/>
  <c r="F35" i="195"/>
  <c r="E31" i="195"/>
  <c r="E34" i="195"/>
  <c r="E39" i="195" s="1"/>
  <c r="E49" i="195"/>
  <c r="G35" i="193"/>
  <c r="G38" i="193"/>
  <c r="G39" i="193"/>
  <c r="G41" i="193" s="1"/>
  <c r="G36" i="193"/>
  <c r="G37" i="193"/>
  <c r="F30" i="193"/>
  <c r="F34" i="193"/>
  <c r="D47" i="193"/>
  <c r="Q58" i="87"/>
  <c r="Q59" i="87"/>
  <c r="Q45" i="87"/>
  <c r="D30" i="171"/>
  <c r="D30" i="180" s="1"/>
  <c r="D30" i="170"/>
  <c r="D30" i="179" s="1"/>
  <c r="N44" i="176"/>
  <c r="N43" i="176"/>
  <c r="N42" i="176"/>
  <c r="N41" i="176"/>
  <c r="N40" i="176"/>
  <c r="N39" i="176"/>
  <c r="N38" i="176"/>
  <c r="N37" i="176"/>
  <c r="N36" i="176"/>
  <c r="N33" i="176"/>
  <c r="N32" i="176"/>
  <c r="N31" i="176"/>
  <c r="N27" i="176"/>
  <c r="N26" i="176"/>
  <c r="N25" i="176"/>
  <c r="N22" i="176"/>
  <c r="N21" i="176"/>
  <c r="N18" i="176"/>
  <c r="N17" i="176"/>
  <c r="N16" i="176"/>
  <c r="N15" i="176"/>
  <c r="N12" i="176"/>
  <c r="N11" i="176"/>
  <c r="N10" i="176"/>
  <c r="N9" i="176"/>
  <c r="N8" i="176"/>
  <c r="N7" i="176"/>
  <c r="N44" i="174"/>
  <c r="N43" i="174"/>
  <c r="N42" i="174"/>
  <c r="N41" i="174"/>
  <c r="N40" i="174"/>
  <c r="N39" i="174"/>
  <c r="N38" i="174"/>
  <c r="N37" i="174"/>
  <c r="N36" i="174"/>
  <c r="N33" i="174"/>
  <c r="N32" i="174"/>
  <c r="N31" i="174"/>
  <c r="N29" i="174"/>
  <c r="N28" i="174"/>
  <c r="N27" i="174"/>
  <c r="N26" i="174"/>
  <c r="N25" i="174"/>
  <c r="N23" i="174"/>
  <c r="N22" i="174"/>
  <c r="N21" i="174"/>
  <c r="N18" i="174"/>
  <c r="N17" i="174"/>
  <c r="N16" i="174"/>
  <c r="N15" i="174"/>
  <c r="N12" i="174"/>
  <c r="N11" i="174"/>
  <c r="N10" i="174"/>
  <c r="N9" i="174"/>
  <c r="N8" i="174"/>
  <c r="N7" i="174"/>
  <c r="Z37" i="62"/>
  <c r="Z38" i="62"/>
  <c r="Z36" i="62"/>
  <c r="Z31" i="62"/>
  <c r="Z32" i="62"/>
  <c r="Z33" i="62"/>
  <c r="Z30" i="62"/>
  <c r="Z27" i="62"/>
  <c r="Z26" i="62"/>
  <c r="Z21" i="62"/>
  <c r="Z22" i="62"/>
  <c r="Z23" i="62"/>
  <c r="Z20" i="62"/>
  <c r="Z42" i="62"/>
  <c r="Z43" i="62"/>
  <c r="Z44" i="62"/>
  <c r="Z45" i="62"/>
  <c r="Z46" i="62"/>
  <c r="Z47" i="62"/>
  <c r="Z48" i="62"/>
  <c r="Z41" i="62"/>
  <c r="Z13" i="62"/>
  <c r="Z15" i="62"/>
  <c r="Z16" i="62"/>
  <c r="Z17" i="62"/>
  <c r="Z12" i="62"/>
  <c r="V42" i="62"/>
  <c r="V43" i="62"/>
  <c r="V44" i="62"/>
  <c r="V45" i="62"/>
  <c r="V46" i="62"/>
  <c r="V47" i="62"/>
  <c r="V48" i="62"/>
  <c r="V41" i="62"/>
  <c r="V37" i="62"/>
  <c r="V38" i="62"/>
  <c r="V36" i="62"/>
  <c r="V31" i="62"/>
  <c r="V32" i="62"/>
  <c r="V33" i="62"/>
  <c r="V30" i="62"/>
  <c r="V27" i="62"/>
  <c r="V26" i="62"/>
  <c r="V21" i="62"/>
  <c r="V22" i="62"/>
  <c r="V23" i="62"/>
  <c r="V20" i="62"/>
  <c r="V13" i="62"/>
  <c r="V14" i="62"/>
  <c r="V15" i="62"/>
  <c r="V16" i="62"/>
  <c r="V17" i="62"/>
  <c r="V12" i="62"/>
  <c r="U12" i="62"/>
  <c r="R42" i="62"/>
  <c r="R43" i="62"/>
  <c r="R44" i="62"/>
  <c r="R45" i="62"/>
  <c r="R46" i="62"/>
  <c r="R47" i="62"/>
  <c r="R48" i="62"/>
  <c r="R41" i="62"/>
  <c r="R37" i="62"/>
  <c r="R38" i="62"/>
  <c r="R36" i="62"/>
  <c r="R31" i="62"/>
  <c r="R32" i="62"/>
  <c r="R33" i="62"/>
  <c r="R30" i="62"/>
  <c r="R27" i="62"/>
  <c r="R26" i="62"/>
  <c r="R21" i="62"/>
  <c r="R22" i="62"/>
  <c r="R23" i="62"/>
  <c r="R20" i="62"/>
  <c r="R13" i="62"/>
  <c r="R14" i="62"/>
  <c r="R15" i="62"/>
  <c r="R16" i="62"/>
  <c r="R17" i="62"/>
  <c r="R12" i="62"/>
  <c r="E32" i="195" l="1"/>
  <c r="F38" i="195"/>
  <c r="H34" i="195"/>
  <c r="H39" i="195" s="1"/>
  <c r="H41" i="195" s="1"/>
  <c r="F32" i="194"/>
  <c r="H30" i="194"/>
  <c r="H32" i="194" s="1"/>
  <c r="F39" i="194"/>
  <c r="F36" i="194"/>
  <c r="F35" i="194"/>
  <c r="F37" i="194"/>
  <c r="H34" i="194"/>
  <c r="H39" i="194" s="1"/>
  <c r="F38" i="194"/>
  <c r="E31" i="194"/>
  <c r="E34" i="194"/>
  <c r="E39" i="194" s="1"/>
  <c r="E48" i="194"/>
  <c r="E30" i="194"/>
  <c r="E32" i="194" s="1"/>
  <c r="E41" i="194" s="1"/>
  <c r="E49" i="194"/>
  <c r="E44" i="194"/>
  <c r="E45" i="194" s="1"/>
  <c r="E41" i="195"/>
  <c r="E47" i="195" s="1"/>
  <c r="F41" i="195"/>
  <c r="E44" i="193"/>
  <c r="E45" i="193" s="1"/>
  <c r="E49" i="193"/>
  <c r="E31" i="193"/>
  <c r="E48" i="193"/>
  <c r="E34" i="193"/>
  <c r="E39" i="193" s="1"/>
  <c r="E30" i="193"/>
  <c r="F39" i="193"/>
  <c r="F36" i="193"/>
  <c r="F35" i="193"/>
  <c r="H34" i="193"/>
  <c r="H39" i="193" s="1"/>
  <c r="F37" i="193"/>
  <c r="F38" i="193"/>
  <c r="H30" i="193"/>
  <c r="H32" i="193" s="1"/>
  <c r="H41" i="193" s="1"/>
  <c r="F32" i="193"/>
  <c r="Q61" i="87"/>
  <c r="Q62" i="87" s="1"/>
  <c r="Y42" i="62"/>
  <c r="Y43" i="62"/>
  <c r="Y44" i="62"/>
  <c r="Y45" i="62"/>
  <c r="Y46" i="62"/>
  <c r="Y47" i="62"/>
  <c r="Y48" i="62"/>
  <c r="AA48" i="62" s="1"/>
  <c r="Y49" i="62"/>
  <c r="Y41" i="62"/>
  <c r="Y37" i="62"/>
  <c r="AA37" i="62" s="1"/>
  <c r="Y38" i="62"/>
  <c r="Y36" i="62"/>
  <c r="Y31" i="62"/>
  <c r="Y33" i="62"/>
  <c r="AA33" i="62" s="1"/>
  <c r="Y30" i="62"/>
  <c r="Y22" i="62"/>
  <c r="Y23" i="62"/>
  <c r="AA23" i="62" s="1"/>
  <c r="Y21" i="62"/>
  <c r="Y20" i="62"/>
  <c r="Y13" i="62"/>
  <c r="Y14" i="62"/>
  <c r="Y15" i="62"/>
  <c r="AA15" i="62" s="1"/>
  <c r="Y16" i="62"/>
  <c r="Y17" i="62"/>
  <c r="Y12" i="62"/>
  <c r="AA17" i="62"/>
  <c r="AA16" i="62"/>
  <c r="U42" i="62"/>
  <c r="U43" i="62"/>
  <c r="U44" i="62"/>
  <c r="U45" i="62"/>
  <c r="U46" i="62"/>
  <c r="U47" i="62"/>
  <c r="U48" i="62"/>
  <c r="U49" i="62"/>
  <c r="U41" i="62"/>
  <c r="U37" i="62"/>
  <c r="U38" i="62"/>
  <c r="U36" i="62"/>
  <c r="U31" i="62"/>
  <c r="U32" i="62"/>
  <c r="U33" i="62"/>
  <c r="U30" i="62"/>
  <c r="U27" i="62"/>
  <c r="U26" i="62"/>
  <c r="U21" i="62"/>
  <c r="U22" i="62"/>
  <c r="U23" i="62"/>
  <c r="U20" i="62"/>
  <c r="U13" i="62"/>
  <c r="U14" i="62"/>
  <c r="U15" i="62"/>
  <c r="U16" i="62"/>
  <c r="U17" i="62"/>
  <c r="Q42" i="62"/>
  <c r="Q43" i="62"/>
  <c r="Q44" i="62"/>
  <c r="Q45" i="62"/>
  <c r="Q46" i="62"/>
  <c r="Q47" i="62"/>
  <c r="Q48" i="62"/>
  <c r="Q49" i="62"/>
  <c r="Q41" i="62"/>
  <c r="Q37" i="62"/>
  <c r="Q38" i="62"/>
  <c r="Q36" i="62"/>
  <c r="Q31" i="62"/>
  <c r="Q32" i="62"/>
  <c r="Q33" i="62"/>
  <c r="Q30" i="62"/>
  <c r="Q27" i="62"/>
  <c r="Q26" i="62"/>
  <c r="Q22" i="62"/>
  <c r="Q23" i="62"/>
  <c r="Q21" i="62"/>
  <c r="Q20" i="62"/>
  <c r="Q15" i="62"/>
  <c r="Q16" i="62"/>
  <c r="Q17" i="62"/>
  <c r="Q14" i="62"/>
  <c r="Q13" i="62"/>
  <c r="Q12" i="62"/>
  <c r="AA6" i="62"/>
  <c r="Z6" i="62"/>
  <c r="AA46" i="62"/>
  <c r="AA45" i="62"/>
  <c r="AA44" i="62"/>
  <c r="AA43" i="62"/>
  <c r="AA42" i="62"/>
  <c r="Z39" i="62"/>
  <c r="AA36" i="62"/>
  <c r="AA31" i="62"/>
  <c r="Z53" i="62"/>
  <c r="Z28" i="62"/>
  <c r="Z24" i="62"/>
  <c r="Z18" i="62"/>
  <c r="AA14" i="62"/>
  <c r="AA12" i="62"/>
  <c r="D30" i="192"/>
  <c r="G32" i="192"/>
  <c r="G36" i="192" s="1"/>
  <c r="U31" i="192"/>
  <c r="T31" i="192" s="1"/>
  <c r="G31" i="192"/>
  <c r="U32" i="192" s="1"/>
  <c r="T32" i="192" s="1"/>
  <c r="U30" i="192"/>
  <c r="T30" i="192" s="1"/>
  <c r="R18" i="48"/>
  <c r="R21" i="48"/>
  <c r="R20" i="48"/>
  <c r="R19" i="48"/>
  <c r="R14" i="48"/>
  <c r="R12" i="48"/>
  <c r="R13" i="48"/>
  <c r="R11" i="48"/>
  <c r="Q18" i="48"/>
  <c r="Q21" i="48"/>
  <c r="Q20" i="48"/>
  <c r="Q19" i="48"/>
  <c r="Q14" i="48"/>
  <c r="Q13" i="48"/>
  <c r="Q12" i="48"/>
  <c r="Q11" i="48"/>
  <c r="R30" i="48"/>
  <c r="Y32" i="62" s="1"/>
  <c r="AA32" i="62" s="1"/>
  <c r="Q30" i="48"/>
  <c r="R35" i="48"/>
  <c r="Q35" i="48"/>
  <c r="D30" i="191"/>
  <c r="U31" i="191"/>
  <c r="T31" i="191" s="1"/>
  <c r="G31" i="191"/>
  <c r="U32" i="191" s="1"/>
  <c r="T32" i="191" s="1"/>
  <c r="U30" i="191"/>
  <c r="T30" i="191" s="1"/>
  <c r="N20" i="48"/>
  <c r="N34" i="48"/>
  <c r="E32" i="193" l="1"/>
  <c r="E41" i="193" s="1"/>
  <c r="E47" i="193" s="1"/>
  <c r="F41" i="193"/>
  <c r="E47" i="194"/>
  <c r="H41" i="194"/>
  <c r="F41" i="194"/>
  <c r="Y54" i="62"/>
  <c r="Y24" i="62"/>
  <c r="AA47" i="62"/>
  <c r="AA41" i="62"/>
  <c r="AA38" i="62"/>
  <c r="AA39" i="62" s="1"/>
  <c r="AA22" i="62"/>
  <c r="AA21" i="62"/>
  <c r="Y18" i="62"/>
  <c r="Y39" i="62"/>
  <c r="Y52" i="62"/>
  <c r="Y50" i="62"/>
  <c r="AA13" i="62"/>
  <c r="AA18" i="62" s="1"/>
  <c r="AA26" i="62"/>
  <c r="AA20" i="62"/>
  <c r="AA30" i="62"/>
  <c r="Z52" i="62"/>
  <c r="Y34" i="62"/>
  <c r="Z34" i="62"/>
  <c r="G38" i="192"/>
  <c r="G32" i="191"/>
  <c r="R25" i="48"/>
  <c r="Y27" i="62" s="1"/>
  <c r="AA27" i="62" s="1"/>
  <c r="Q25" i="48"/>
  <c r="R24" i="48"/>
  <c r="Y26" i="62" s="1"/>
  <c r="Q24" i="48"/>
  <c r="AA28" i="62" l="1"/>
  <c r="Y28" i="62"/>
  <c r="Y53" i="62"/>
  <c r="Y56" i="62" s="1"/>
  <c r="Y55" i="62" s="1"/>
  <c r="AA24" i="62"/>
  <c r="AA52" i="62"/>
  <c r="AA34" i="62"/>
  <c r="AA53" i="62"/>
  <c r="G36" i="191"/>
  <c r="G38" i="191"/>
  <c r="R46" i="48" l="1"/>
  <c r="R45" i="48"/>
  <c r="R44" i="48"/>
  <c r="R43" i="48"/>
  <c r="R41" i="48"/>
  <c r="R52" i="48" s="1"/>
  <c r="R40" i="48"/>
  <c r="R39" i="48"/>
  <c r="R36" i="48"/>
  <c r="R34" i="48"/>
  <c r="R37" i="48" s="1"/>
  <c r="R31" i="48"/>
  <c r="R29" i="48"/>
  <c r="R28" i="48"/>
  <c r="R26" i="48"/>
  <c r="R22" i="48"/>
  <c r="R15" i="48"/>
  <c r="R10" i="48"/>
  <c r="Q46" i="48"/>
  <c r="Q45" i="48"/>
  <c r="Q44" i="48"/>
  <c r="Q43" i="48"/>
  <c r="Q41" i="48"/>
  <c r="Q40" i="48"/>
  <c r="Q39" i="48"/>
  <c r="Q36" i="48"/>
  <c r="Q34" i="48"/>
  <c r="Q37" i="48" s="1"/>
  <c r="N34" i="176" s="1"/>
  <c r="Q31" i="48"/>
  <c r="Q29" i="48"/>
  <c r="Q28" i="48"/>
  <c r="Q26" i="48"/>
  <c r="Q15" i="48"/>
  <c r="Q10" i="48"/>
  <c r="Q16" i="48" s="1"/>
  <c r="N13" i="176" s="1"/>
  <c r="N46" i="48"/>
  <c r="N45" i="48"/>
  <c r="N44" i="48"/>
  <c r="N43" i="48"/>
  <c r="N41" i="48"/>
  <c r="N40" i="48"/>
  <c r="N39" i="48"/>
  <c r="N36" i="48"/>
  <c r="N52" i="48" s="1"/>
  <c r="N35" i="48"/>
  <c r="N31" i="48"/>
  <c r="N30" i="48"/>
  <c r="N29" i="48"/>
  <c r="N28" i="48"/>
  <c r="N32" i="48" s="1"/>
  <c r="N26" i="48"/>
  <c r="N15" i="48"/>
  <c r="N12" i="48"/>
  <c r="N11" i="48"/>
  <c r="D41" i="170" l="1"/>
  <c r="D41" i="191"/>
  <c r="D42" i="191" s="1"/>
  <c r="N23" i="176"/>
  <c r="R50" i="48"/>
  <c r="Q32" i="48"/>
  <c r="N29" i="176" s="1"/>
  <c r="N51" i="48"/>
  <c r="Q52" i="48"/>
  <c r="R16" i="48"/>
  <c r="N22" i="48"/>
  <c r="N19" i="174" s="1"/>
  <c r="N37" i="48"/>
  <c r="N34" i="174" s="1"/>
  <c r="N16" i="48"/>
  <c r="Q51" i="48"/>
  <c r="R32" i="48"/>
  <c r="R48" i="48"/>
  <c r="N48" i="48"/>
  <c r="N45" i="174" s="1"/>
  <c r="Q22" i="48"/>
  <c r="N19" i="176" s="1"/>
  <c r="R51" i="48"/>
  <c r="Q48" i="48"/>
  <c r="N45" i="176" s="1"/>
  <c r="Q50" i="48"/>
  <c r="N50" i="48"/>
  <c r="N13" i="174" l="1"/>
  <c r="U13" i="48"/>
  <c r="U15" i="48"/>
  <c r="U12" i="48"/>
  <c r="U10" i="48"/>
  <c r="U14" i="48"/>
  <c r="U11" i="48"/>
  <c r="D41" i="171"/>
  <c r="D41" i="192"/>
  <c r="D42" i="192" s="1"/>
  <c r="D31" i="170"/>
  <c r="D31" i="191"/>
  <c r="D32" i="191" s="1"/>
  <c r="D33" i="170"/>
  <c r="D34" i="170" s="1"/>
  <c r="D33" i="191"/>
  <c r="D34" i="191" s="1"/>
  <c r="D33" i="171"/>
  <c r="D34" i="171" s="1"/>
  <c r="D33" i="192"/>
  <c r="D34" i="192" s="1"/>
  <c r="D31" i="171"/>
  <c r="D31" i="180" s="1"/>
  <c r="D31" i="192"/>
  <c r="N53" i="48"/>
  <c r="U22" i="48"/>
  <c r="U21" i="48"/>
  <c r="U20" i="48"/>
  <c r="U19" i="48"/>
  <c r="U16" i="48"/>
  <c r="U18" i="48"/>
  <c r="R53" i="48"/>
  <c r="R54" i="48" s="1"/>
  <c r="Q53" i="48"/>
  <c r="D36" i="191" l="1"/>
  <c r="D38" i="191" s="1"/>
  <c r="N54" i="48"/>
  <c r="N50" i="174"/>
  <c r="D36" i="192"/>
  <c r="Q54" i="48"/>
  <c r="Q61" i="48" s="1"/>
  <c r="N50" i="176"/>
  <c r="W55" i="48"/>
  <c r="S22" i="48" s="1"/>
  <c r="R58" i="48"/>
  <c r="R59" i="48" s="1"/>
  <c r="D32" i="192"/>
  <c r="R56" i="48"/>
  <c r="R61" i="48"/>
  <c r="Q56" i="48" l="1"/>
  <c r="U55" i="48"/>
  <c r="N58" i="48"/>
  <c r="N59" i="48" s="1"/>
  <c r="N61" i="48"/>
  <c r="N56" i="48"/>
  <c r="F34" i="191"/>
  <c r="F30" i="191"/>
  <c r="F31" i="191"/>
  <c r="H31" i="191" s="1"/>
  <c r="D44" i="191"/>
  <c r="F33" i="191"/>
  <c r="D38" i="192"/>
  <c r="F31" i="192" s="1"/>
  <c r="H31" i="192" s="1"/>
  <c r="V55" i="48"/>
  <c r="Q58" i="48"/>
  <c r="Q59" i="48" s="1"/>
  <c r="I29" i="190"/>
  <c r="G29" i="190"/>
  <c r="F29" i="190"/>
  <c r="F32" i="191" l="1"/>
  <c r="H30" i="191"/>
  <c r="H32" i="191" s="1"/>
  <c r="E30" i="191"/>
  <c r="E31" i="191"/>
  <c r="E41" i="191"/>
  <c r="E42" i="191" s="1"/>
  <c r="E34" i="191"/>
  <c r="E33" i="191"/>
  <c r="F36" i="191"/>
  <c r="D44" i="192"/>
  <c r="E41" i="192" s="1"/>
  <c r="E42" i="192" s="1"/>
  <c r="F33" i="192"/>
  <c r="F34" i="192"/>
  <c r="F30" i="192"/>
  <c r="F32" i="192" s="1"/>
  <c r="H30" i="192"/>
  <c r="H32" i="192" s="1"/>
  <c r="K29" i="190"/>
  <c r="J27" i="190"/>
  <c r="J29" i="190" s="1"/>
  <c r="E32" i="191" l="1"/>
  <c r="F36" i="192"/>
  <c r="F38" i="192" s="1"/>
  <c r="E34" i="192"/>
  <c r="E33" i="192"/>
  <c r="E30" i="192"/>
  <c r="E31" i="192"/>
  <c r="E36" i="191"/>
  <c r="F38" i="191"/>
  <c r="H28" i="190"/>
  <c r="H27" i="190"/>
  <c r="H26" i="190"/>
  <c r="L14" i="190"/>
  <c r="L13" i="190"/>
  <c r="L11" i="190"/>
  <c r="H17" i="190"/>
  <c r="H16" i="190"/>
  <c r="F15" i="190"/>
  <c r="H15" i="190" s="1"/>
  <c r="F14" i="190"/>
  <c r="F18" i="190" s="1"/>
  <c r="H13" i="190"/>
  <c r="H12" i="190"/>
  <c r="G11" i="190"/>
  <c r="G18" i="190" s="1"/>
  <c r="L28" i="190"/>
  <c r="L27" i="190"/>
  <c r="L26" i="190"/>
  <c r="L21" i="190"/>
  <c r="K21" i="190"/>
  <c r="H21" i="190"/>
  <c r="G21" i="190"/>
  <c r="K18" i="190"/>
  <c r="J18" i="190"/>
  <c r="I18" i="190"/>
  <c r="L12" i="190"/>
  <c r="L6" i="190"/>
  <c r="K6" i="190"/>
  <c r="E38" i="191" l="1"/>
  <c r="E44" i="191" s="1"/>
  <c r="E36" i="192"/>
  <c r="G34" i="192" s="1"/>
  <c r="H34" i="192" s="1"/>
  <c r="E32" i="192"/>
  <c r="G33" i="191"/>
  <c r="G34" i="191"/>
  <c r="H34" i="191" s="1"/>
  <c r="H29" i="190"/>
  <c r="L29" i="190"/>
  <c r="L18" i="190"/>
  <c r="H14" i="190"/>
  <c r="H11" i="190"/>
  <c r="H18" i="190" s="1"/>
  <c r="G33" i="192" l="1"/>
  <c r="E38" i="192"/>
  <c r="E44" i="192" s="1"/>
  <c r="U29" i="191"/>
  <c r="H33" i="191"/>
  <c r="H36" i="191" s="1"/>
  <c r="H38" i="191" s="1"/>
  <c r="U29" i="192"/>
  <c r="H33" i="192"/>
  <c r="H36" i="192" s="1"/>
  <c r="H38" i="192" s="1"/>
  <c r="J40" i="189"/>
  <c r="J42" i="189" s="1"/>
  <c r="L86" i="189"/>
  <c r="Q91" i="189"/>
  <c r="Q92" i="189"/>
  <c r="Q93" i="189"/>
  <c r="G95" i="189"/>
  <c r="M123" i="189"/>
  <c r="L95" i="187"/>
  <c r="J15" i="85"/>
  <c r="L16" i="85"/>
  <c r="M39" i="48"/>
  <c r="V39" i="62"/>
  <c r="V24" i="62"/>
  <c r="R18" i="62"/>
  <c r="N48" i="62"/>
  <c r="O48" i="62" s="1"/>
  <c r="N47" i="62"/>
  <c r="N46" i="62"/>
  <c r="N45" i="62"/>
  <c r="N44" i="62"/>
  <c r="N43" i="62"/>
  <c r="N42" i="62"/>
  <c r="N41" i="62"/>
  <c r="N38" i="62"/>
  <c r="N37" i="62"/>
  <c r="N36" i="62"/>
  <c r="N33" i="62"/>
  <c r="N32" i="62"/>
  <c r="O32" i="62" s="1"/>
  <c r="N31" i="62"/>
  <c r="N30" i="62"/>
  <c r="N27" i="62"/>
  <c r="N26" i="62"/>
  <c r="O26" i="62" s="1"/>
  <c r="N23" i="62"/>
  <c r="N22" i="62"/>
  <c r="N21" i="62"/>
  <c r="N20" i="62"/>
  <c r="O20" i="62" s="1"/>
  <c r="N17" i="62"/>
  <c r="N16" i="62"/>
  <c r="N15" i="62"/>
  <c r="N14" i="62"/>
  <c r="N13" i="62"/>
  <c r="N12" i="62"/>
  <c r="J49" i="62"/>
  <c r="J48" i="62"/>
  <c r="J47" i="62"/>
  <c r="K47" i="62" s="1"/>
  <c r="J46" i="62"/>
  <c r="G16" i="172"/>
  <c r="G11" i="172"/>
  <c r="G9" i="172"/>
  <c r="E9" i="172"/>
  <c r="J45" i="62"/>
  <c r="J44" i="62"/>
  <c r="J43" i="62"/>
  <c r="J42" i="62"/>
  <c r="J41" i="62"/>
  <c r="K41" i="62" s="1"/>
  <c r="J38" i="62"/>
  <c r="J37" i="62"/>
  <c r="J36" i="62"/>
  <c r="J33" i="62"/>
  <c r="J32" i="62"/>
  <c r="J31" i="62"/>
  <c r="J30" i="62"/>
  <c r="J27" i="62"/>
  <c r="K27" i="62" s="1"/>
  <c r="J26" i="62"/>
  <c r="J28" i="62" s="1"/>
  <c r="J23" i="62"/>
  <c r="J22" i="62"/>
  <c r="K22" i="62" s="1"/>
  <c r="J21" i="62"/>
  <c r="J20" i="62"/>
  <c r="J17" i="62"/>
  <c r="J16" i="62"/>
  <c r="J15" i="62"/>
  <c r="J14" i="62"/>
  <c r="J13" i="62"/>
  <c r="J12" i="62"/>
  <c r="E18" i="172"/>
  <c r="E16" i="172"/>
  <c r="E15" i="172"/>
  <c r="E11" i="172"/>
  <c r="E10" i="172"/>
  <c r="I22" i="172"/>
  <c r="I21" i="172"/>
  <c r="G18" i="172"/>
  <c r="G10" i="172"/>
  <c r="G8" i="172"/>
  <c r="G31" i="161"/>
  <c r="J11" i="48"/>
  <c r="C56" i="189" s="1"/>
  <c r="J12" i="48"/>
  <c r="C49" i="189" s="1"/>
  <c r="J35" i="48"/>
  <c r="J34" i="48"/>
  <c r="N31" i="172" s="1"/>
  <c r="K31" i="172" s="1"/>
  <c r="M31" i="172" s="1"/>
  <c r="O31" i="172" s="1"/>
  <c r="J13" i="48"/>
  <c r="J19" i="48"/>
  <c r="C97" i="189" s="1"/>
  <c r="J14" i="48"/>
  <c r="C63" i="189" s="1"/>
  <c r="J20" i="48"/>
  <c r="C119" i="189" s="1"/>
  <c r="J21" i="48"/>
  <c r="C108" i="189" s="1"/>
  <c r="J18" i="48"/>
  <c r="C102" i="189" s="1"/>
  <c r="J41" i="48"/>
  <c r="J29" i="48"/>
  <c r="N28" i="87" s="1"/>
  <c r="J25" i="48"/>
  <c r="J24" i="48"/>
  <c r="C46" i="189" s="1"/>
  <c r="I48" i="189" s="1"/>
  <c r="J31" i="48"/>
  <c r="N30" i="87" s="1"/>
  <c r="M30" i="87"/>
  <c r="M29" i="87"/>
  <c r="M28" i="87"/>
  <c r="M27" i="87"/>
  <c r="J46" i="48"/>
  <c r="J45" i="48"/>
  <c r="J44" i="48"/>
  <c r="J43" i="48"/>
  <c r="J42" i="48"/>
  <c r="J40" i="48"/>
  <c r="J39" i="48"/>
  <c r="J36" i="48"/>
  <c r="M38" i="62" s="1"/>
  <c r="O38" i="62" s="1"/>
  <c r="J30" i="48"/>
  <c r="J28" i="48"/>
  <c r="N27" i="87" s="1"/>
  <c r="J15" i="48"/>
  <c r="J10" i="48"/>
  <c r="C76" i="189" s="1"/>
  <c r="G9" i="184"/>
  <c r="G10" i="184"/>
  <c r="G12" i="184"/>
  <c r="G13" i="184"/>
  <c r="G11" i="184"/>
  <c r="G9" i="185"/>
  <c r="G15" i="185" s="1"/>
  <c r="G22" i="185" s="1"/>
  <c r="G10" i="185"/>
  <c r="G12" i="185"/>
  <c r="G11" i="185"/>
  <c r="G13" i="185"/>
  <c r="G20" i="185"/>
  <c r="G19" i="185"/>
  <c r="G18" i="185"/>
  <c r="G17" i="185"/>
  <c r="G20" i="184"/>
  <c r="G19" i="184"/>
  <c r="G18" i="184"/>
  <c r="G17" i="184"/>
  <c r="J47" i="48"/>
  <c r="O47" i="48"/>
  <c r="O46" i="48"/>
  <c r="O45" i="48"/>
  <c r="O44" i="48"/>
  <c r="O43" i="48"/>
  <c r="O41" i="48"/>
  <c r="O40" i="48"/>
  <c r="O39" i="48"/>
  <c r="O36" i="48"/>
  <c r="O52" i="48" s="1"/>
  <c r="O35" i="48"/>
  <c r="O34" i="48"/>
  <c r="O31" i="48"/>
  <c r="O30" i="48"/>
  <c r="O29" i="48"/>
  <c r="O28" i="48"/>
  <c r="O21" i="48"/>
  <c r="O20" i="48"/>
  <c r="O22" i="48" s="1"/>
  <c r="O19" i="48"/>
  <c r="O18" i="48"/>
  <c r="O15" i="48"/>
  <c r="O14" i="48"/>
  <c r="O13" i="48"/>
  <c r="O12" i="48"/>
  <c r="O11" i="48"/>
  <c r="O10" i="48"/>
  <c r="O16" i="48" s="1"/>
  <c r="L47" i="48"/>
  <c r="L46" i="48"/>
  <c r="L45" i="48"/>
  <c r="L44" i="48"/>
  <c r="L43" i="48"/>
  <c r="L41" i="48"/>
  <c r="L40" i="48"/>
  <c r="L39" i="48"/>
  <c r="L52" i="48" s="1"/>
  <c r="L36" i="48"/>
  <c r="L35" i="48"/>
  <c r="L34" i="48"/>
  <c r="L31" i="48"/>
  <c r="L30" i="48"/>
  <c r="L29" i="48"/>
  <c r="L28" i="48"/>
  <c r="L25" i="48"/>
  <c r="O25" i="48" s="1"/>
  <c r="L21" i="48"/>
  <c r="L20" i="48"/>
  <c r="L19" i="48"/>
  <c r="L18" i="48"/>
  <c r="L15" i="48"/>
  <c r="L14" i="48"/>
  <c r="L13" i="48"/>
  <c r="L12" i="48"/>
  <c r="L11" i="48"/>
  <c r="L10" i="48"/>
  <c r="I47" i="48"/>
  <c r="I46" i="48"/>
  <c r="I45" i="48"/>
  <c r="I44" i="48"/>
  <c r="I43" i="48"/>
  <c r="I41" i="48"/>
  <c r="I40" i="48"/>
  <c r="I39" i="48"/>
  <c r="I36" i="48"/>
  <c r="I35" i="48"/>
  <c r="I34" i="48"/>
  <c r="I31" i="48"/>
  <c r="I30" i="48"/>
  <c r="I29" i="48"/>
  <c r="I28" i="48"/>
  <c r="I25" i="48"/>
  <c r="I24" i="48"/>
  <c r="L24" i="48" s="1"/>
  <c r="I21" i="48"/>
  <c r="I20" i="48"/>
  <c r="I19" i="48"/>
  <c r="I18" i="48"/>
  <c r="I22" i="48" s="1"/>
  <c r="I14" i="48"/>
  <c r="I13" i="48"/>
  <c r="I12" i="48"/>
  <c r="I11" i="48"/>
  <c r="I10" i="48"/>
  <c r="O32" i="48"/>
  <c r="L32" i="48"/>
  <c r="F47" i="48"/>
  <c r="F52" i="48" s="1"/>
  <c r="F37" i="48"/>
  <c r="F31" i="48"/>
  <c r="F30" i="48"/>
  <c r="F26" i="48"/>
  <c r="F21" i="48"/>
  <c r="F20" i="48"/>
  <c r="F19" i="48"/>
  <c r="F18" i="48"/>
  <c r="F22" i="48" s="1"/>
  <c r="F14" i="48"/>
  <c r="F13" i="48"/>
  <c r="F12" i="48"/>
  <c r="F11" i="48"/>
  <c r="J14" i="85"/>
  <c r="F16" i="85"/>
  <c r="F14" i="85"/>
  <c r="M123" i="187"/>
  <c r="Q93" i="187"/>
  <c r="Q92" i="187"/>
  <c r="Q91" i="187"/>
  <c r="Q94" i="187" s="1"/>
  <c r="L47" i="186"/>
  <c r="M123" i="186"/>
  <c r="Q93" i="186"/>
  <c r="Q92" i="186"/>
  <c r="Q91" i="186"/>
  <c r="Q94" i="186"/>
  <c r="L10" i="148"/>
  <c r="G7" i="172"/>
  <c r="L16" i="150"/>
  <c r="I22" i="176"/>
  <c r="I22" i="174"/>
  <c r="P18" i="48"/>
  <c r="M18" i="48"/>
  <c r="J7" i="176"/>
  <c r="G7" i="176"/>
  <c r="J7" i="174"/>
  <c r="G7" i="174"/>
  <c r="J7" i="172"/>
  <c r="E36" i="176"/>
  <c r="E15" i="176"/>
  <c r="E16" i="176"/>
  <c r="G16" i="176"/>
  <c r="G19" i="176"/>
  <c r="E17" i="176"/>
  <c r="E18" i="176"/>
  <c r="F19" i="176"/>
  <c r="H19" i="176"/>
  <c r="J19" i="176"/>
  <c r="K19" i="176"/>
  <c r="L19" i="176"/>
  <c r="E21" i="176"/>
  <c r="I21" i="176"/>
  <c r="J21" i="176"/>
  <c r="E22" i="176"/>
  <c r="J22" i="176"/>
  <c r="F23" i="176"/>
  <c r="H23" i="176"/>
  <c r="K23" i="176"/>
  <c r="L23" i="176"/>
  <c r="J23" i="176"/>
  <c r="I23" i="176"/>
  <c r="E19" i="176"/>
  <c r="E23" i="176"/>
  <c r="I21" i="174"/>
  <c r="P13" i="48"/>
  <c r="M13" i="48"/>
  <c r="G21" i="185"/>
  <c r="G23" i="185" s="1"/>
  <c r="F21" i="185"/>
  <c r="F23" i="185" s="1"/>
  <c r="E21" i="185"/>
  <c r="E23" i="185" s="1"/>
  <c r="F15" i="185"/>
  <c r="F22" i="185" s="1"/>
  <c r="E15" i="185"/>
  <c r="E22" i="185" s="1"/>
  <c r="G21" i="184"/>
  <c r="G23" i="184" s="1"/>
  <c r="F21" i="184"/>
  <c r="F23" i="184" s="1"/>
  <c r="E21" i="184"/>
  <c r="E23" i="184" s="1"/>
  <c r="G15" i="184"/>
  <c r="G22" i="184" s="1"/>
  <c r="F15" i="184"/>
  <c r="F22" i="184" s="1"/>
  <c r="E15" i="184"/>
  <c r="E22" i="184" s="1"/>
  <c r="O90" i="183"/>
  <c r="L90" i="183"/>
  <c r="L81" i="183"/>
  <c r="O89" i="183"/>
  <c r="L45" i="183"/>
  <c r="L31" i="183"/>
  <c r="O90" i="182"/>
  <c r="L90" i="182"/>
  <c r="E84" i="182"/>
  <c r="E83" i="182"/>
  <c r="E82" i="182"/>
  <c r="L81" i="182"/>
  <c r="L45" i="182"/>
  <c r="L31" i="182"/>
  <c r="L117" i="183"/>
  <c r="O89" i="182"/>
  <c r="L117" i="182"/>
  <c r="O88" i="183"/>
  <c r="O91" i="183"/>
  <c r="G102" i="182"/>
  <c r="O88" i="182"/>
  <c r="O91" i="182"/>
  <c r="P19" i="48"/>
  <c r="C91" i="183" s="1"/>
  <c r="P47" i="48"/>
  <c r="K44" i="176" s="1"/>
  <c r="M19" i="48"/>
  <c r="S21" i="62" s="1"/>
  <c r="M47" i="48"/>
  <c r="P57" i="150"/>
  <c r="P46" i="150"/>
  <c r="P41" i="150"/>
  <c r="P30" i="150"/>
  <c r="O57" i="150"/>
  <c r="O46" i="150"/>
  <c r="O41" i="150"/>
  <c r="O30" i="150"/>
  <c r="N57" i="150"/>
  <c r="N46" i="150"/>
  <c r="N41" i="150"/>
  <c r="N30" i="150"/>
  <c r="P41" i="148"/>
  <c r="P30" i="148"/>
  <c r="O41" i="148"/>
  <c r="O30" i="148"/>
  <c r="N41" i="148"/>
  <c r="N30" i="148"/>
  <c r="G29" i="108"/>
  <c r="G31" i="108"/>
  <c r="F29" i="108"/>
  <c r="F31" i="108"/>
  <c r="E29" i="108"/>
  <c r="E31" i="108"/>
  <c r="L31" i="108"/>
  <c r="K31" i="108"/>
  <c r="J31" i="108"/>
  <c r="I31" i="108"/>
  <c r="H31" i="108"/>
  <c r="G31" i="180"/>
  <c r="G31" i="179"/>
  <c r="G31" i="178"/>
  <c r="L20" i="120"/>
  <c r="L22" i="120"/>
  <c r="K20" i="120"/>
  <c r="K22" i="120"/>
  <c r="J20" i="120"/>
  <c r="J22" i="120"/>
  <c r="I20" i="120"/>
  <c r="I22" i="120"/>
  <c r="H20" i="120"/>
  <c r="H22" i="120"/>
  <c r="G18" i="120"/>
  <c r="G20" i="120"/>
  <c r="G22" i="120"/>
  <c r="F18" i="120"/>
  <c r="F20" i="120"/>
  <c r="F22" i="120"/>
  <c r="E18" i="120"/>
  <c r="E20" i="120"/>
  <c r="E22" i="120"/>
  <c r="L21" i="88"/>
  <c r="L23" i="88"/>
  <c r="K21" i="88"/>
  <c r="K23" i="88"/>
  <c r="J21" i="88"/>
  <c r="J23" i="88"/>
  <c r="I21" i="88"/>
  <c r="I23" i="88"/>
  <c r="H21" i="88"/>
  <c r="H23" i="88"/>
  <c r="G19" i="88"/>
  <c r="G21" i="88"/>
  <c r="G23" i="88"/>
  <c r="F19" i="88"/>
  <c r="F21" i="88"/>
  <c r="F23" i="88"/>
  <c r="E19" i="88"/>
  <c r="E21" i="88"/>
  <c r="E23" i="88"/>
  <c r="L20" i="119"/>
  <c r="L28" i="119"/>
  <c r="K20" i="119"/>
  <c r="K28" i="119"/>
  <c r="J20" i="119"/>
  <c r="J28" i="119"/>
  <c r="I20" i="119"/>
  <c r="I28" i="119"/>
  <c r="H20" i="119"/>
  <c r="H28" i="119"/>
  <c r="G20" i="119"/>
  <c r="G28" i="119"/>
  <c r="F20" i="119"/>
  <c r="F28" i="119"/>
  <c r="E20" i="119"/>
  <c r="E28" i="119"/>
  <c r="L25" i="87"/>
  <c r="E60" i="87"/>
  <c r="K35" i="87"/>
  <c r="J35" i="87"/>
  <c r="I35" i="87"/>
  <c r="H35" i="87"/>
  <c r="G35" i="87"/>
  <c r="F35" i="87"/>
  <c r="E35" i="87"/>
  <c r="K25" i="87"/>
  <c r="J25" i="87"/>
  <c r="G18" i="87"/>
  <c r="G59" i="87"/>
  <c r="F18" i="87"/>
  <c r="F59" i="87"/>
  <c r="E18" i="87"/>
  <c r="E59" i="87"/>
  <c r="K20" i="87"/>
  <c r="J20" i="87"/>
  <c r="I20" i="87"/>
  <c r="H20" i="87"/>
  <c r="G20" i="87"/>
  <c r="G30" i="180"/>
  <c r="G30" i="179"/>
  <c r="G30" i="178"/>
  <c r="G32" i="180"/>
  <c r="G32" i="179"/>
  <c r="G34" i="179"/>
  <c r="G35" i="179"/>
  <c r="G37" i="179"/>
  <c r="G32" i="178"/>
  <c r="G34" i="180"/>
  <c r="G35" i="180"/>
  <c r="G37" i="180"/>
  <c r="G34" i="178"/>
  <c r="G35" i="178"/>
  <c r="G37" i="178"/>
  <c r="R28" i="62"/>
  <c r="R24" i="62"/>
  <c r="F33" i="62"/>
  <c r="F32" i="62"/>
  <c r="F31" i="62"/>
  <c r="F30" i="62"/>
  <c r="P43" i="48"/>
  <c r="M43" i="48"/>
  <c r="S45" i="62" s="1"/>
  <c r="J27" i="172"/>
  <c r="J27" i="176"/>
  <c r="J27" i="174"/>
  <c r="G39" i="176"/>
  <c r="M39" i="176" s="1"/>
  <c r="P10" i="48"/>
  <c r="I7" i="176" s="1"/>
  <c r="M7" i="176" s="1"/>
  <c r="O7" i="176" s="1"/>
  <c r="E41" i="176"/>
  <c r="E33" i="176"/>
  <c r="E34" i="176"/>
  <c r="E28" i="176"/>
  <c r="E27" i="176"/>
  <c r="E26" i="176"/>
  <c r="E25" i="176"/>
  <c r="E11" i="176"/>
  <c r="E10" i="176"/>
  <c r="E9" i="176"/>
  <c r="E8" i="176"/>
  <c r="E7" i="176"/>
  <c r="L49" i="176"/>
  <c r="J49" i="176"/>
  <c r="I49" i="176"/>
  <c r="F49" i="176"/>
  <c r="L45" i="176"/>
  <c r="I45" i="176"/>
  <c r="F45" i="176"/>
  <c r="G38" i="176"/>
  <c r="K37" i="176"/>
  <c r="J34" i="176"/>
  <c r="I34" i="176"/>
  <c r="H34" i="176"/>
  <c r="F34" i="176"/>
  <c r="K32" i="176"/>
  <c r="G32" i="176"/>
  <c r="L29" i="176"/>
  <c r="K29" i="176"/>
  <c r="J29" i="176"/>
  <c r="I29" i="176"/>
  <c r="H29" i="176"/>
  <c r="F29" i="176"/>
  <c r="H48" i="176"/>
  <c r="F48" i="176"/>
  <c r="L13" i="176"/>
  <c r="L47" i="176"/>
  <c r="K13" i="176"/>
  <c r="H13" i="176"/>
  <c r="H47" i="176"/>
  <c r="F13" i="176"/>
  <c r="F47" i="176"/>
  <c r="G11" i="176"/>
  <c r="J10" i="176"/>
  <c r="G10" i="176"/>
  <c r="G9" i="176"/>
  <c r="J8" i="176"/>
  <c r="G8" i="176"/>
  <c r="G10" i="174"/>
  <c r="C73" i="183"/>
  <c r="J13" i="176"/>
  <c r="K48" i="176"/>
  <c r="E48" i="176"/>
  <c r="E13" i="176"/>
  <c r="E47" i="176"/>
  <c r="F50" i="176"/>
  <c r="C37" i="177" s="1"/>
  <c r="E29" i="176"/>
  <c r="K37" i="174"/>
  <c r="E41" i="174"/>
  <c r="E38" i="174"/>
  <c r="E36" i="174"/>
  <c r="E7" i="174"/>
  <c r="E28" i="174"/>
  <c r="E27" i="174"/>
  <c r="E26" i="174"/>
  <c r="E25" i="174"/>
  <c r="E33" i="174"/>
  <c r="E22" i="174"/>
  <c r="E21" i="174"/>
  <c r="E18" i="174"/>
  <c r="E17" i="174"/>
  <c r="E16" i="174"/>
  <c r="E15" i="174"/>
  <c r="E11" i="174"/>
  <c r="E10" i="174"/>
  <c r="E9" i="174"/>
  <c r="E8" i="174"/>
  <c r="G39" i="174"/>
  <c r="M39" i="174" s="1"/>
  <c r="L49" i="174"/>
  <c r="J49" i="174"/>
  <c r="I49" i="174"/>
  <c r="F49" i="174"/>
  <c r="L45" i="174"/>
  <c r="I45" i="174"/>
  <c r="F45" i="174"/>
  <c r="G38" i="174"/>
  <c r="J34" i="174"/>
  <c r="I34" i="174"/>
  <c r="H34" i="174"/>
  <c r="F34" i="174"/>
  <c r="K32" i="174"/>
  <c r="G32" i="174"/>
  <c r="L29" i="174"/>
  <c r="K29" i="174"/>
  <c r="J29" i="174"/>
  <c r="I29" i="174"/>
  <c r="H29" i="174"/>
  <c r="F29" i="174"/>
  <c r="E29" i="174"/>
  <c r="L23" i="174"/>
  <c r="K23" i="174"/>
  <c r="H23" i="174"/>
  <c r="F23" i="174"/>
  <c r="J22" i="174"/>
  <c r="J21" i="174"/>
  <c r="L19" i="174"/>
  <c r="K19" i="174"/>
  <c r="J19" i="174"/>
  <c r="H19" i="174"/>
  <c r="H48" i="174"/>
  <c r="F19" i="174"/>
  <c r="F48" i="174"/>
  <c r="G16" i="174"/>
  <c r="G19" i="174"/>
  <c r="E19" i="174"/>
  <c r="L13" i="174"/>
  <c r="L47" i="174"/>
  <c r="K13" i="174"/>
  <c r="H13" i="174"/>
  <c r="H47" i="174"/>
  <c r="F13" i="174"/>
  <c r="F47" i="174"/>
  <c r="G11" i="174"/>
  <c r="J10" i="174"/>
  <c r="G9" i="174"/>
  <c r="J8" i="174"/>
  <c r="G8" i="174"/>
  <c r="E13" i="174"/>
  <c r="E47" i="174"/>
  <c r="J23" i="174"/>
  <c r="F50" i="174"/>
  <c r="C37" i="175" s="1"/>
  <c r="I23" i="174"/>
  <c r="J13" i="174"/>
  <c r="K48" i="174"/>
  <c r="E49" i="174"/>
  <c r="E34" i="174"/>
  <c r="E45" i="174"/>
  <c r="E48" i="174"/>
  <c r="E23" i="174"/>
  <c r="E50" i="174"/>
  <c r="C36" i="175" s="1"/>
  <c r="P12" i="48"/>
  <c r="I9" i="176" s="1"/>
  <c r="M9" i="176" s="1"/>
  <c r="O9" i="176" s="1"/>
  <c r="I10" i="176"/>
  <c r="M10" i="176" s="1"/>
  <c r="O10" i="176" s="1"/>
  <c r="M12" i="48"/>
  <c r="P11" i="48"/>
  <c r="M11" i="48"/>
  <c r="P14" i="48"/>
  <c r="I11" i="176" s="1"/>
  <c r="M11" i="176" s="1"/>
  <c r="I16" i="176"/>
  <c r="M16" i="176" s="1"/>
  <c r="M14" i="48"/>
  <c r="G31" i="171"/>
  <c r="G32" i="171"/>
  <c r="G31" i="170"/>
  <c r="G32" i="170"/>
  <c r="C60" i="183"/>
  <c r="C46" i="182"/>
  <c r="C53" i="182"/>
  <c r="C60" i="182"/>
  <c r="C46" i="183"/>
  <c r="I10" i="174"/>
  <c r="M10" i="174" s="1"/>
  <c r="S15" i="62"/>
  <c r="I8" i="174"/>
  <c r="M8" i="174" s="1"/>
  <c r="O8" i="174" s="1"/>
  <c r="S13" i="62"/>
  <c r="M20" i="48"/>
  <c r="P20" i="48"/>
  <c r="P21" i="48"/>
  <c r="M21" i="48"/>
  <c r="M10" i="48"/>
  <c r="P34" i="48"/>
  <c r="K31" i="176" s="1"/>
  <c r="M31" i="176" s="1"/>
  <c r="O31" i="176" s="1"/>
  <c r="M34" i="48"/>
  <c r="I17" i="176"/>
  <c r="M17" i="176" s="1"/>
  <c r="C113" i="182"/>
  <c r="I7" i="174"/>
  <c r="M7" i="174" s="1"/>
  <c r="O7" i="174" s="1"/>
  <c r="S22" i="62"/>
  <c r="E41" i="172"/>
  <c r="E38" i="172"/>
  <c r="E36" i="172"/>
  <c r="E33" i="172"/>
  <c r="E22" i="172"/>
  <c r="E21" i="172"/>
  <c r="E17" i="172"/>
  <c r="E8" i="172"/>
  <c r="E7" i="172"/>
  <c r="N39" i="172"/>
  <c r="N12" i="172"/>
  <c r="G12" i="172" s="1"/>
  <c r="L49" i="172"/>
  <c r="J49" i="172"/>
  <c r="I49" i="172"/>
  <c r="F49" i="172"/>
  <c r="L45" i="172"/>
  <c r="I45" i="172"/>
  <c r="F45" i="172"/>
  <c r="E45" i="172"/>
  <c r="G38" i="172"/>
  <c r="E49" i="172"/>
  <c r="J34" i="172"/>
  <c r="I34" i="172"/>
  <c r="H34" i="172"/>
  <c r="F34" i="172"/>
  <c r="E34" i="172"/>
  <c r="G32" i="172"/>
  <c r="L29" i="172"/>
  <c r="K29" i="172"/>
  <c r="J29" i="172"/>
  <c r="I29" i="172"/>
  <c r="H29" i="172"/>
  <c r="F29" i="172"/>
  <c r="E29" i="172"/>
  <c r="L23" i="172"/>
  <c r="K23" i="172"/>
  <c r="H23" i="172"/>
  <c r="F23" i="172"/>
  <c r="E23" i="172"/>
  <c r="J22" i="172"/>
  <c r="J21" i="172"/>
  <c r="L19" i="172"/>
  <c r="K19" i="172"/>
  <c r="J19" i="172"/>
  <c r="H19" i="172"/>
  <c r="H48" i="172"/>
  <c r="G19" i="172"/>
  <c r="F19" i="172"/>
  <c r="F48" i="172"/>
  <c r="E19" i="172"/>
  <c r="E48" i="172"/>
  <c r="L13" i="172"/>
  <c r="L47" i="172"/>
  <c r="K13" i="172"/>
  <c r="H13" i="172"/>
  <c r="H47" i="172"/>
  <c r="F13" i="172"/>
  <c r="F47" i="172"/>
  <c r="E13" i="172"/>
  <c r="E47" i="172"/>
  <c r="J10" i="172"/>
  <c r="J8" i="172"/>
  <c r="J13" i="172"/>
  <c r="J23" i="172"/>
  <c r="I23" i="172"/>
  <c r="F50" i="172"/>
  <c r="C37" i="173" s="1"/>
  <c r="E50" i="172"/>
  <c r="C36" i="173" s="1"/>
  <c r="L49" i="163"/>
  <c r="J49" i="163"/>
  <c r="I49" i="163"/>
  <c r="F49" i="163"/>
  <c r="J27" i="163"/>
  <c r="N25" i="163"/>
  <c r="G25" i="163" s="1"/>
  <c r="M25" i="163" s="1"/>
  <c r="O25" i="163" s="1"/>
  <c r="N26" i="163"/>
  <c r="L19" i="163"/>
  <c r="K19" i="163"/>
  <c r="K48" i="163"/>
  <c r="J19" i="163"/>
  <c r="H19" i="163"/>
  <c r="H48" i="163"/>
  <c r="G19" i="163"/>
  <c r="F19" i="163"/>
  <c r="F48" i="163"/>
  <c r="E19" i="163"/>
  <c r="E48" i="163"/>
  <c r="U30" i="170"/>
  <c r="T30" i="170"/>
  <c r="U31" i="170"/>
  <c r="T31" i="170"/>
  <c r="U32" i="170"/>
  <c r="T32" i="170"/>
  <c r="N16" i="172"/>
  <c r="I16" i="172" s="1"/>
  <c r="M16" i="172" s="1"/>
  <c r="O16" i="172" s="1"/>
  <c r="N9" i="172"/>
  <c r="U32" i="171"/>
  <c r="T32" i="171"/>
  <c r="G36" i="171"/>
  <c r="G38" i="171"/>
  <c r="U31" i="171"/>
  <c r="T31" i="171"/>
  <c r="U30" i="171"/>
  <c r="T30" i="171"/>
  <c r="G36" i="170"/>
  <c r="G38" i="170"/>
  <c r="E51" i="48"/>
  <c r="E50" i="48"/>
  <c r="P29" i="48"/>
  <c r="M29" i="48"/>
  <c r="P31" i="48"/>
  <c r="M31" i="48"/>
  <c r="S33" i="62" s="1"/>
  <c r="K31" i="48"/>
  <c r="N28" i="172"/>
  <c r="G28" i="172" s="1"/>
  <c r="M28" i="172" s="1"/>
  <c r="H31" i="48"/>
  <c r="N28" i="163"/>
  <c r="G28" i="163" s="1"/>
  <c r="P30" i="48"/>
  <c r="M30" i="48"/>
  <c r="K30" i="48"/>
  <c r="K32" i="48" s="1"/>
  <c r="N27" i="172"/>
  <c r="H30" i="48"/>
  <c r="N27" i="163"/>
  <c r="G27" i="163" s="1"/>
  <c r="M27" i="163" s="1"/>
  <c r="P28" i="48"/>
  <c r="M28" i="48"/>
  <c r="N25" i="172"/>
  <c r="G25" i="172" s="1"/>
  <c r="N28" i="176"/>
  <c r="G28" i="176" s="1"/>
  <c r="M28" i="176" s="1"/>
  <c r="G27" i="176"/>
  <c r="M27" i="176" s="1"/>
  <c r="O27" i="176" s="1"/>
  <c r="G26" i="176"/>
  <c r="G27" i="174"/>
  <c r="M27" i="174" s="1"/>
  <c r="G25" i="174"/>
  <c r="G28" i="174"/>
  <c r="M28" i="174" s="1"/>
  <c r="O28" i="174" s="1"/>
  <c r="H50" i="48"/>
  <c r="H51" i="48"/>
  <c r="U32" i="168"/>
  <c r="T32" i="168"/>
  <c r="G32" i="168"/>
  <c r="G36" i="168"/>
  <c r="G38" i="168"/>
  <c r="U31" i="168"/>
  <c r="T31" i="168"/>
  <c r="U30" i="168"/>
  <c r="T30" i="168"/>
  <c r="AJ35" i="48"/>
  <c r="AJ34" i="48"/>
  <c r="AJ33" i="48"/>
  <c r="AH36" i="48"/>
  <c r="AH35" i="48"/>
  <c r="AH34" i="48"/>
  <c r="AH33" i="48"/>
  <c r="AI36" i="48"/>
  <c r="AG37" i="48"/>
  <c r="C96" i="182"/>
  <c r="N17" i="172"/>
  <c r="I17" i="172" s="1"/>
  <c r="M17" i="172" s="1"/>
  <c r="O17" i="172" s="1"/>
  <c r="N18" i="172"/>
  <c r="I18" i="172" s="1"/>
  <c r="M18" i="172" s="1"/>
  <c r="N8" i="172"/>
  <c r="I8" i="172" s="1"/>
  <c r="M8" i="172" s="1"/>
  <c r="O8" i="172" s="1"/>
  <c r="N15" i="172"/>
  <c r="I15" i="172" s="1"/>
  <c r="I15" i="174"/>
  <c r="M15" i="174" s="1"/>
  <c r="O15" i="174" s="1"/>
  <c r="AB36" i="48"/>
  <c r="AC33" i="48" s="1"/>
  <c r="AD33" i="48" s="1"/>
  <c r="Y37" i="48"/>
  <c r="AC35" i="48"/>
  <c r="AC34" i="48"/>
  <c r="AD34" i="48" s="1"/>
  <c r="K44" i="174"/>
  <c r="K49" i="174" s="1"/>
  <c r="N44" i="172"/>
  <c r="K44" i="172" s="1"/>
  <c r="P45" i="48"/>
  <c r="M45" i="48"/>
  <c r="N42" i="172"/>
  <c r="G42" i="172" s="1"/>
  <c r="M42" i="172" s="1"/>
  <c r="O42" i="172" s="1"/>
  <c r="N21" i="172"/>
  <c r="S26" i="62"/>
  <c r="N11" i="172"/>
  <c r="I11" i="172" s="1"/>
  <c r="M11" i="172" s="1"/>
  <c r="O11" i="172" s="1"/>
  <c r="P46" i="48"/>
  <c r="G43" i="176" s="1"/>
  <c r="M43" i="176" s="1"/>
  <c r="O43" i="176" s="1"/>
  <c r="P44" i="48"/>
  <c r="W46" i="62" s="1"/>
  <c r="G40" i="176"/>
  <c r="M40" i="176" s="1"/>
  <c r="P41" i="48"/>
  <c r="E38" i="176" s="1"/>
  <c r="P40" i="48"/>
  <c r="J37" i="176" s="1"/>
  <c r="P39" i="48"/>
  <c r="P15" i="48"/>
  <c r="G12" i="176" s="1"/>
  <c r="M15" i="48"/>
  <c r="M46" i="48"/>
  <c r="M44" i="48"/>
  <c r="G40" i="174"/>
  <c r="M40" i="174" s="1"/>
  <c r="M41" i="48"/>
  <c r="M40" i="48"/>
  <c r="J37" i="174" s="1"/>
  <c r="J45" i="174" s="1"/>
  <c r="P36" i="48"/>
  <c r="G33" i="176" s="1"/>
  <c r="M36" i="48"/>
  <c r="P35" i="48"/>
  <c r="L32" i="176" s="1"/>
  <c r="M32" i="176" s="1"/>
  <c r="O32" i="176" s="1"/>
  <c r="M35" i="48"/>
  <c r="N43" i="172"/>
  <c r="G43" i="172" s="1"/>
  <c r="M43" i="172" s="1"/>
  <c r="O43" i="172" s="1"/>
  <c r="N41" i="172"/>
  <c r="G41" i="172" s="1"/>
  <c r="M41" i="172" s="1"/>
  <c r="O41" i="172" s="1"/>
  <c r="N40" i="172"/>
  <c r="N38" i="172"/>
  <c r="N36" i="172"/>
  <c r="N32" i="172"/>
  <c r="N7" i="172"/>
  <c r="S48" i="62"/>
  <c r="S46" i="62"/>
  <c r="G21" i="176"/>
  <c r="G40" i="172"/>
  <c r="M40" i="172" s="1"/>
  <c r="O40" i="172" s="1"/>
  <c r="M16" i="48"/>
  <c r="K52" i="48"/>
  <c r="K48" i="48"/>
  <c r="K37" i="48"/>
  <c r="K26" i="48"/>
  <c r="K22" i="48"/>
  <c r="K16" i="48"/>
  <c r="H52" i="48"/>
  <c r="H53" i="48" s="1"/>
  <c r="H54" i="48" s="1"/>
  <c r="H48" i="48"/>
  <c r="H37" i="48"/>
  <c r="H26" i="48"/>
  <c r="H22" i="48"/>
  <c r="H16" i="48"/>
  <c r="M26" i="48"/>
  <c r="O25" i="87" s="1"/>
  <c r="S27" i="62"/>
  <c r="H32" i="48"/>
  <c r="M32" i="48"/>
  <c r="G22" i="176"/>
  <c r="M22" i="176" s="1"/>
  <c r="O22" i="176" s="1"/>
  <c r="P22" i="48"/>
  <c r="J22" i="48"/>
  <c r="C84" i="189" s="1"/>
  <c r="E22" i="48"/>
  <c r="K11" i="85"/>
  <c r="O88" i="167"/>
  <c r="L31" i="167"/>
  <c r="L45" i="167"/>
  <c r="L88" i="167"/>
  <c r="L79" i="167"/>
  <c r="F49" i="62"/>
  <c r="F48" i="62"/>
  <c r="F47" i="62"/>
  <c r="F46" i="62"/>
  <c r="F45" i="62"/>
  <c r="F44" i="62"/>
  <c r="F43" i="62"/>
  <c r="F42" i="62"/>
  <c r="F41" i="62"/>
  <c r="F27" i="62"/>
  <c r="F26" i="62"/>
  <c r="F38" i="62"/>
  <c r="F37" i="62"/>
  <c r="F36" i="62"/>
  <c r="F23" i="62"/>
  <c r="F22" i="62"/>
  <c r="F21" i="62"/>
  <c r="F20" i="62"/>
  <c r="F17" i="62"/>
  <c r="F16" i="62"/>
  <c r="F15" i="62"/>
  <c r="F14" i="62"/>
  <c r="F13" i="62"/>
  <c r="F12" i="62"/>
  <c r="V52" i="62"/>
  <c r="V53" i="62"/>
  <c r="J21" i="163"/>
  <c r="J8" i="163"/>
  <c r="J10" i="163"/>
  <c r="G86" i="167"/>
  <c r="G85" i="167" s="1"/>
  <c r="E86" i="167"/>
  <c r="G43" i="167"/>
  <c r="E43" i="167"/>
  <c r="M21" i="88"/>
  <c r="M23" i="88"/>
  <c r="M20" i="119"/>
  <c r="M28" i="119"/>
  <c r="M31" i="108"/>
  <c r="M20" i="120"/>
  <c r="M22" i="120" s="1"/>
  <c r="G50" i="48"/>
  <c r="G51" i="48"/>
  <c r="D33" i="168" s="1"/>
  <c r="D30" i="168"/>
  <c r="G22" i="48"/>
  <c r="M44" i="172"/>
  <c r="K10" i="62"/>
  <c r="N10" i="62"/>
  <c r="O10" i="62" s="1"/>
  <c r="I17" i="62"/>
  <c r="L61" i="167"/>
  <c r="L115" i="167"/>
  <c r="I21" i="62"/>
  <c r="G36" i="167"/>
  <c r="G81" i="167"/>
  <c r="G82" i="167"/>
  <c r="E36" i="167"/>
  <c r="E82" i="167"/>
  <c r="E81" i="167"/>
  <c r="E83" i="167" s="1"/>
  <c r="G79" i="167"/>
  <c r="G33" i="167"/>
  <c r="E79" i="167"/>
  <c r="G34" i="167"/>
  <c r="E34" i="167"/>
  <c r="E33" i="167"/>
  <c r="G37" i="167"/>
  <c r="E37" i="167"/>
  <c r="G35" i="167"/>
  <c r="E35" i="167"/>
  <c r="G80" i="167"/>
  <c r="E80" i="167"/>
  <c r="I22" i="62"/>
  <c r="I20" i="62"/>
  <c r="I16" i="62"/>
  <c r="K16" i="62" s="1"/>
  <c r="I15" i="62"/>
  <c r="I14" i="62"/>
  <c r="I13" i="62"/>
  <c r="K13" i="62" s="1"/>
  <c r="I12" i="62"/>
  <c r="E36" i="163"/>
  <c r="G38" i="163"/>
  <c r="N55" i="87"/>
  <c r="N54" i="87"/>
  <c r="N53" i="87"/>
  <c r="N52" i="87"/>
  <c r="N51" i="87"/>
  <c r="N50" i="87"/>
  <c r="N49" i="87"/>
  <c r="N47" i="87"/>
  <c r="N23" i="87"/>
  <c r="N38" i="87"/>
  <c r="N37" i="87"/>
  <c r="N19" i="87"/>
  <c r="N18" i="87"/>
  <c r="N17" i="87"/>
  <c r="N16" i="87"/>
  <c r="N13" i="87"/>
  <c r="N12" i="87"/>
  <c r="N10" i="87"/>
  <c r="N9" i="87"/>
  <c r="N8" i="87"/>
  <c r="M49" i="62"/>
  <c r="M48" i="62"/>
  <c r="M47" i="62"/>
  <c r="M46" i="62"/>
  <c r="M45" i="62"/>
  <c r="M44" i="62"/>
  <c r="M43" i="62"/>
  <c r="M41" i="62"/>
  <c r="M26" i="62"/>
  <c r="M37" i="62"/>
  <c r="O37" i="62" s="1"/>
  <c r="M33" i="62"/>
  <c r="M32" i="62"/>
  <c r="M31" i="62"/>
  <c r="O31" i="62" s="1"/>
  <c r="M30" i="62"/>
  <c r="M23" i="62"/>
  <c r="M22" i="62"/>
  <c r="M21" i="62"/>
  <c r="M20" i="62"/>
  <c r="M17" i="62"/>
  <c r="M16" i="62"/>
  <c r="M14" i="62"/>
  <c r="M13" i="62"/>
  <c r="M12" i="62"/>
  <c r="W12" i="62"/>
  <c r="L11" i="85"/>
  <c r="L12" i="85"/>
  <c r="L13" i="85"/>
  <c r="L14" i="85"/>
  <c r="L15" i="85"/>
  <c r="L17" i="85"/>
  <c r="G18" i="85"/>
  <c r="H17" i="85"/>
  <c r="H16" i="85"/>
  <c r="F18" i="85"/>
  <c r="H14" i="85"/>
  <c r="H13" i="85"/>
  <c r="H12" i="85"/>
  <c r="H11" i="85"/>
  <c r="H15" i="85"/>
  <c r="H18" i="85"/>
  <c r="E13" i="62"/>
  <c r="L24" i="108"/>
  <c r="L25" i="108" s="1"/>
  <c r="L38" i="108" s="1"/>
  <c r="G101" i="167"/>
  <c r="G100" i="167"/>
  <c r="G38" i="167"/>
  <c r="G40" i="167" s="1"/>
  <c r="E38" i="167"/>
  <c r="E40" i="167" s="1"/>
  <c r="G60" i="167"/>
  <c r="G59" i="167"/>
  <c r="G47" i="167"/>
  <c r="G46" i="167"/>
  <c r="G72" i="167"/>
  <c r="M24" i="108"/>
  <c r="M25" i="108" s="1"/>
  <c r="M38" i="108" s="1"/>
  <c r="L13" i="120"/>
  <c r="L14" i="120" s="1"/>
  <c r="L14" i="88"/>
  <c r="L15" i="88" s="1"/>
  <c r="L22" i="88" s="1"/>
  <c r="G52" i="48"/>
  <c r="E52" i="48"/>
  <c r="E53" i="48" s="1"/>
  <c r="E54" i="48" s="1"/>
  <c r="E36" i="62"/>
  <c r="J14" i="87"/>
  <c r="J60" i="87"/>
  <c r="E37" i="48"/>
  <c r="M8" i="87"/>
  <c r="M8" i="148" s="1"/>
  <c r="M9" i="87"/>
  <c r="L28" i="85"/>
  <c r="L27" i="85"/>
  <c r="H27" i="85"/>
  <c r="H26" i="85"/>
  <c r="N32" i="163"/>
  <c r="G32" i="163"/>
  <c r="P37" i="48"/>
  <c r="N31" i="163"/>
  <c r="G31" i="163" s="1"/>
  <c r="M31" i="163" s="1"/>
  <c r="O31" i="163" s="1"/>
  <c r="M17" i="87"/>
  <c r="M18" i="87"/>
  <c r="M11" i="87"/>
  <c r="M10" i="87"/>
  <c r="M10" i="150" s="1"/>
  <c r="I25" i="87"/>
  <c r="I27" i="62"/>
  <c r="N12" i="163"/>
  <c r="G12" i="163" s="1"/>
  <c r="G13" i="163" s="1"/>
  <c r="N38" i="163"/>
  <c r="H38" i="163" s="1"/>
  <c r="J22" i="163"/>
  <c r="I22" i="163"/>
  <c r="I21" i="163"/>
  <c r="W27" i="62"/>
  <c r="I26" i="62"/>
  <c r="I46" i="62"/>
  <c r="K46" i="62" s="1"/>
  <c r="I42" i="62"/>
  <c r="K42" i="62" s="1"/>
  <c r="K8" i="150"/>
  <c r="K10" i="148"/>
  <c r="J22" i="108"/>
  <c r="J25" i="108"/>
  <c r="J38" i="108"/>
  <c r="I22" i="108"/>
  <c r="I25" i="108"/>
  <c r="I38" i="108"/>
  <c r="H22" i="108"/>
  <c r="H25" i="108"/>
  <c r="H38" i="108"/>
  <c r="G17" i="108"/>
  <c r="G18" i="108"/>
  <c r="G20" i="108"/>
  <c r="F12" i="108"/>
  <c r="F20" i="108"/>
  <c r="E16" i="108"/>
  <c r="E22" i="108"/>
  <c r="E25" i="108"/>
  <c r="E38" i="108"/>
  <c r="K11" i="150"/>
  <c r="J14" i="120"/>
  <c r="J21" i="120"/>
  <c r="J23" i="120"/>
  <c r="I14" i="120"/>
  <c r="I21" i="120"/>
  <c r="I23" i="120"/>
  <c r="H14" i="120"/>
  <c r="H21" i="120"/>
  <c r="H23" i="120"/>
  <c r="G14" i="120"/>
  <c r="G21" i="120"/>
  <c r="G23" i="120"/>
  <c r="G14" i="87"/>
  <c r="F14" i="120"/>
  <c r="F21" i="120"/>
  <c r="F23" i="120"/>
  <c r="E14" i="120"/>
  <c r="E21" i="120"/>
  <c r="E23" i="120"/>
  <c r="E14" i="87"/>
  <c r="E14" i="119"/>
  <c r="E27" i="119"/>
  <c r="J15" i="88"/>
  <c r="J22" i="88"/>
  <c r="J24" i="88"/>
  <c r="I15" i="88"/>
  <c r="I22" i="88"/>
  <c r="I24" i="88"/>
  <c r="I14" i="87"/>
  <c r="I58" i="87"/>
  <c r="H15" i="88"/>
  <c r="H22" i="88"/>
  <c r="H24" i="88"/>
  <c r="G15" i="88"/>
  <c r="G22" i="88"/>
  <c r="G24" i="88"/>
  <c r="F15" i="88"/>
  <c r="F22" i="88"/>
  <c r="F24" i="88"/>
  <c r="E15" i="88"/>
  <c r="E22" i="88"/>
  <c r="J14" i="119"/>
  <c r="J27" i="119"/>
  <c r="J29" i="119"/>
  <c r="J30" i="119"/>
  <c r="I14" i="119"/>
  <c r="I27" i="119"/>
  <c r="I29" i="119"/>
  <c r="I30" i="119"/>
  <c r="H14" i="119"/>
  <c r="H27" i="119"/>
  <c r="H29" i="119"/>
  <c r="H30" i="119"/>
  <c r="G14" i="119"/>
  <c r="G27" i="119"/>
  <c r="G29" i="119"/>
  <c r="G30" i="119"/>
  <c r="F14" i="119"/>
  <c r="F27" i="119"/>
  <c r="F29" i="119"/>
  <c r="F30" i="119"/>
  <c r="F14" i="87"/>
  <c r="E58" i="87"/>
  <c r="H14" i="87"/>
  <c r="H58" i="87"/>
  <c r="L13" i="163"/>
  <c r="L47" i="163"/>
  <c r="K13" i="163"/>
  <c r="K47" i="163"/>
  <c r="J13" i="163"/>
  <c r="F13" i="163"/>
  <c r="F47" i="163"/>
  <c r="W45" i="62"/>
  <c r="W42" i="62"/>
  <c r="W33" i="62"/>
  <c r="J29" i="85"/>
  <c r="F29" i="85"/>
  <c r="I18" i="85"/>
  <c r="K18" i="150"/>
  <c r="K19" i="150"/>
  <c r="K45" i="148"/>
  <c r="H21" i="85"/>
  <c r="G21" i="85"/>
  <c r="L6" i="85"/>
  <c r="K6" i="85"/>
  <c r="M23" i="87"/>
  <c r="J36" i="108"/>
  <c r="K12" i="149"/>
  <c r="J25" i="119"/>
  <c r="J17" i="148"/>
  <c r="K30" i="150"/>
  <c r="L30" i="150"/>
  <c r="M30" i="150"/>
  <c r="K41" i="150"/>
  <c r="L41" i="150"/>
  <c r="M41" i="150"/>
  <c r="K46" i="150"/>
  <c r="L46" i="150"/>
  <c r="M46" i="150"/>
  <c r="K57" i="150"/>
  <c r="L57" i="150"/>
  <c r="M57" i="150"/>
  <c r="K30" i="148"/>
  <c r="L30" i="148"/>
  <c r="M30" i="148"/>
  <c r="K41" i="148"/>
  <c r="L41" i="148"/>
  <c r="M41" i="148"/>
  <c r="M19" i="87"/>
  <c r="M38" i="87"/>
  <c r="M39" i="87"/>
  <c r="M48" i="87"/>
  <c r="M47" i="87"/>
  <c r="M49" i="87"/>
  <c r="M50" i="87"/>
  <c r="M51" i="87"/>
  <c r="M52" i="87"/>
  <c r="M53" i="87"/>
  <c r="M54" i="87"/>
  <c r="M55" i="87"/>
  <c r="I48" i="62"/>
  <c r="I47" i="62"/>
  <c r="E48" i="62"/>
  <c r="E31" i="62"/>
  <c r="G31" i="62" s="1"/>
  <c r="J56" i="87"/>
  <c r="K44" i="163"/>
  <c r="K49" i="163" s="1"/>
  <c r="K50" i="163" s="1"/>
  <c r="C42" i="165" s="1"/>
  <c r="N44" i="163"/>
  <c r="N40" i="163"/>
  <c r="G40" i="163" s="1"/>
  <c r="M40" i="163" s="1"/>
  <c r="O40" i="163" s="1"/>
  <c r="N42" i="163"/>
  <c r="G42" i="163" s="1"/>
  <c r="M42" i="163" s="1"/>
  <c r="N43" i="163"/>
  <c r="G43" i="163" s="1"/>
  <c r="M43" i="163" s="1"/>
  <c r="O43" i="163" s="1"/>
  <c r="N46" i="163"/>
  <c r="I45" i="62"/>
  <c r="K45" i="62" s="1"/>
  <c r="I49" i="62"/>
  <c r="E49" i="62"/>
  <c r="G49" i="62" s="1"/>
  <c r="O87" i="167"/>
  <c r="H25" i="87"/>
  <c r="F25" i="87"/>
  <c r="G25" i="87"/>
  <c r="L45" i="163"/>
  <c r="I45" i="163"/>
  <c r="F45" i="163"/>
  <c r="L23" i="163"/>
  <c r="K23" i="163"/>
  <c r="H23" i="163"/>
  <c r="F23" i="163"/>
  <c r="J34" i="163"/>
  <c r="I34" i="163"/>
  <c r="H34" i="163"/>
  <c r="F34" i="163"/>
  <c r="L29" i="163"/>
  <c r="K29" i="163"/>
  <c r="J29" i="163"/>
  <c r="I29" i="163"/>
  <c r="H29" i="163"/>
  <c r="F29" i="163"/>
  <c r="S18" i="163"/>
  <c r="S17" i="163"/>
  <c r="S16" i="163"/>
  <c r="S15" i="163"/>
  <c r="S12" i="163"/>
  <c r="S11" i="163"/>
  <c r="S10" i="163"/>
  <c r="S9" i="163"/>
  <c r="S8" i="163"/>
  <c r="S7" i="163"/>
  <c r="U32" i="161"/>
  <c r="T32" i="161"/>
  <c r="G32" i="161"/>
  <c r="G36" i="161"/>
  <c r="G38" i="161"/>
  <c r="U31" i="161"/>
  <c r="T31" i="161"/>
  <c r="U30" i="161"/>
  <c r="T30" i="161"/>
  <c r="G31" i="159"/>
  <c r="G30" i="159"/>
  <c r="J8" i="149"/>
  <c r="I10" i="148"/>
  <c r="I12" i="148"/>
  <c r="I16" i="148"/>
  <c r="I18" i="148"/>
  <c r="I19" i="150"/>
  <c r="I43" i="148"/>
  <c r="I29" i="85"/>
  <c r="F6" i="62"/>
  <c r="G6" i="62"/>
  <c r="I25" i="119"/>
  <c r="I36" i="108"/>
  <c r="H25" i="119"/>
  <c r="G58" i="87"/>
  <c r="G60" i="87"/>
  <c r="L21" i="85"/>
  <c r="K21" i="85"/>
  <c r="H36" i="108"/>
  <c r="H13" i="148"/>
  <c r="H43" i="148"/>
  <c r="E19" i="150"/>
  <c r="E8" i="150"/>
  <c r="F60" i="87"/>
  <c r="E41" i="150"/>
  <c r="F41" i="150"/>
  <c r="G41" i="150"/>
  <c r="H41" i="150"/>
  <c r="I41" i="150"/>
  <c r="J41" i="150"/>
  <c r="H41" i="148"/>
  <c r="E41" i="148"/>
  <c r="F41" i="148"/>
  <c r="G41" i="148"/>
  <c r="I41" i="148"/>
  <c r="J41" i="148"/>
  <c r="E45" i="87"/>
  <c r="F45" i="87"/>
  <c r="E57" i="150"/>
  <c r="F57" i="150"/>
  <c r="G57" i="150"/>
  <c r="H57" i="150"/>
  <c r="I57" i="150"/>
  <c r="J57" i="150"/>
  <c r="E46" i="150"/>
  <c r="F46" i="150"/>
  <c r="G46" i="150"/>
  <c r="H46" i="150"/>
  <c r="I46" i="150"/>
  <c r="J46" i="150"/>
  <c r="E30" i="150"/>
  <c r="F30" i="150"/>
  <c r="G30" i="150"/>
  <c r="H30" i="150"/>
  <c r="I30" i="150"/>
  <c r="J30" i="150"/>
  <c r="F30" i="148"/>
  <c r="E30" i="148"/>
  <c r="G30" i="148"/>
  <c r="H30" i="148"/>
  <c r="I30" i="148"/>
  <c r="J30" i="148"/>
  <c r="F58" i="87"/>
  <c r="F20" i="87"/>
  <c r="I19" i="149"/>
  <c r="H11" i="148"/>
  <c r="G19" i="148"/>
  <c r="F19" i="150"/>
  <c r="F17" i="150"/>
  <c r="F16" i="150"/>
  <c r="E17" i="150"/>
  <c r="E16" i="150"/>
  <c r="F13" i="150"/>
  <c r="F12" i="150"/>
  <c r="F10" i="150"/>
  <c r="F9" i="150"/>
  <c r="F8" i="150"/>
  <c r="E12" i="150"/>
  <c r="E10" i="150"/>
  <c r="E9" i="150"/>
  <c r="G19" i="149"/>
  <c r="G17" i="149"/>
  <c r="F19" i="149"/>
  <c r="F17" i="149"/>
  <c r="G16" i="149"/>
  <c r="F16" i="149"/>
  <c r="G13" i="149"/>
  <c r="G12" i="149"/>
  <c r="G10" i="149"/>
  <c r="G9" i="149"/>
  <c r="G8" i="149"/>
  <c r="F12" i="149"/>
  <c r="F10" i="149"/>
  <c r="F9" i="149"/>
  <c r="F8" i="149"/>
  <c r="F43" i="148"/>
  <c r="E43" i="148"/>
  <c r="F19" i="148"/>
  <c r="F17" i="148"/>
  <c r="E19" i="148"/>
  <c r="E17" i="148"/>
  <c r="F16" i="148"/>
  <c r="E16" i="148"/>
  <c r="F13" i="148"/>
  <c r="F12" i="148"/>
  <c r="F10" i="148"/>
  <c r="F9" i="148"/>
  <c r="F8" i="148"/>
  <c r="E12" i="148"/>
  <c r="E10" i="148"/>
  <c r="E9" i="148"/>
  <c r="E8" i="148"/>
  <c r="H17" i="150"/>
  <c r="G25" i="119"/>
  <c r="G56" i="87"/>
  <c r="G13" i="148"/>
  <c r="E36" i="108"/>
  <c r="F25" i="119"/>
  <c r="E25" i="119"/>
  <c r="E25" i="87"/>
  <c r="F36" i="108"/>
  <c r="G16" i="150"/>
  <c r="F56" i="87"/>
  <c r="G45" i="87"/>
  <c r="H18" i="149"/>
  <c r="G8" i="150"/>
  <c r="G36" i="108"/>
  <c r="G17" i="150"/>
  <c r="H10" i="149"/>
  <c r="E56" i="87"/>
  <c r="H18" i="148"/>
  <c r="G43" i="148"/>
  <c r="G19" i="150"/>
  <c r="H13" i="149"/>
  <c r="H19" i="149"/>
  <c r="G18" i="148"/>
  <c r="G10" i="148"/>
  <c r="H8" i="149"/>
  <c r="G8" i="148"/>
  <c r="H16" i="150"/>
  <c r="G13" i="150"/>
  <c r="G16" i="148"/>
  <c r="G10" i="150"/>
  <c r="H16" i="149"/>
  <c r="G9" i="150"/>
  <c r="G9" i="148"/>
  <c r="H9" i="149"/>
  <c r="H17" i="149"/>
  <c r="G17" i="148"/>
  <c r="G12" i="150"/>
  <c r="H12" i="149"/>
  <c r="G12" i="148"/>
  <c r="G18" i="150"/>
  <c r="I16" i="149"/>
  <c r="H17" i="148"/>
  <c r="H11" i="150"/>
  <c r="H8" i="150"/>
  <c r="H60" i="87"/>
  <c r="I8" i="149"/>
  <c r="H8" i="148"/>
  <c r="H45" i="87"/>
  <c r="I10" i="149"/>
  <c r="H10" i="148"/>
  <c r="H10" i="150"/>
  <c r="I11" i="149"/>
  <c r="H16" i="148"/>
  <c r="I18" i="149"/>
  <c r="H13" i="150"/>
  <c r="I13" i="149"/>
  <c r="I17" i="149"/>
  <c r="H18" i="150"/>
  <c r="I9" i="149"/>
  <c r="H9" i="150"/>
  <c r="H9" i="148"/>
  <c r="H19" i="150"/>
  <c r="H19" i="148"/>
  <c r="H12" i="150"/>
  <c r="I12" i="149"/>
  <c r="H12" i="148"/>
  <c r="H56" i="87"/>
  <c r="I18" i="150"/>
  <c r="I11" i="150"/>
  <c r="I16" i="150"/>
  <c r="J16" i="149"/>
  <c r="J10" i="149"/>
  <c r="I45" i="87"/>
  <c r="I8" i="150"/>
  <c r="J12" i="149"/>
  <c r="I12" i="150"/>
  <c r="J18" i="149"/>
  <c r="J19" i="149"/>
  <c r="I13" i="148"/>
  <c r="I8" i="148"/>
  <c r="J11" i="149"/>
  <c r="I11" i="148"/>
  <c r="E47" i="62"/>
  <c r="G47" i="62" s="1"/>
  <c r="E45" i="62"/>
  <c r="I43" i="62"/>
  <c r="I30" i="62"/>
  <c r="I44" i="62"/>
  <c r="N39" i="163"/>
  <c r="G39" i="163" s="1"/>
  <c r="M39" i="163" s="1"/>
  <c r="O39" i="163" s="1"/>
  <c r="E44" i="62"/>
  <c r="E42" i="62"/>
  <c r="E41" i="62"/>
  <c r="G41" i="62" s="1"/>
  <c r="E43" i="62"/>
  <c r="E46" i="62"/>
  <c r="E30" i="62"/>
  <c r="I60" i="87"/>
  <c r="I19" i="148"/>
  <c r="E34" i="163"/>
  <c r="J17" i="149"/>
  <c r="I17" i="148"/>
  <c r="I17" i="150"/>
  <c r="I9" i="150"/>
  <c r="J9" i="149"/>
  <c r="I9" i="148"/>
  <c r="I10" i="150"/>
  <c r="J43" i="148"/>
  <c r="I56" i="87"/>
  <c r="K17" i="149"/>
  <c r="M28" i="163"/>
  <c r="I31" i="62"/>
  <c r="I37" i="62"/>
  <c r="I33" i="62"/>
  <c r="I38" i="62"/>
  <c r="I23" i="62"/>
  <c r="I41" i="62"/>
  <c r="N21" i="163"/>
  <c r="C89" i="167"/>
  <c r="N16" i="163"/>
  <c r="G48" i="48"/>
  <c r="N45" i="163" s="1"/>
  <c r="N36" i="163"/>
  <c r="G36" i="163" s="1"/>
  <c r="N33" i="163"/>
  <c r="G33" i="163" s="1"/>
  <c r="M33" i="163" s="1"/>
  <c r="O33" i="163" s="1"/>
  <c r="N17" i="163"/>
  <c r="I17" i="163" s="1"/>
  <c r="M17" i="163" s="1"/>
  <c r="C111" i="167"/>
  <c r="N41" i="163"/>
  <c r="G41" i="163" s="1"/>
  <c r="M41" i="163" s="1"/>
  <c r="O41" i="163" s="1"/>
  <c r="N37" i="163"/>
  <c r="J37" i="163" s="1"/>
  <c r="J48" i="163" s="1"/>
  <c r="E38" i="62"/>
  <c r="E37" i="62"/>
  <c r="E32" i="62"/>
  <c r="E33" i="62"/>
  <c r="G33" i="62" s="1"/>
  <c r="E26" i="62"/>
  <c r="E32" i="48"/>
  <c r="E48" i="48"/>
  <c r="C100" i="167"/>
  <c r="N18" i="163"/>
  <c r="I18" i="163" s="1"/>
  <c r="M18" i="163" s="1"/>
  <c r="O18" i="163" s="1"/>
  <c r="E20" i="62"/>
  <c r="J13" i="149"/>
  <c r="I13" i="150"/>
  <c r="J45" i="87"/>
  <c r="J10" i="150"/>
  <c r="J12" i="148"/>
  <c r="J18" i="148"/>
  <c r="K9" i="149"/>
  <c r="K13" i="149"/>
  <c r="K19" i="149"/>
  <c r="J17" i="150"/>
  <c r="J9" i="148"/>
  <c r="J13" i="148"/>
  <c r="J19" i="148"/>
  <c r="K10" i="149"/>
  <c r="J8" i="150"/>
  <c r="J12" i="150"/>
  <c r="J10" i="148"/>
  <c r="J9" i="150"/>
  <c r="J13" i="150"/>
  <c r="J19" i="150"/>
  <c r="J8" i="148"/>
  <c r="J18" i="150"/>
  <c r="K8" i="149"/>
  <c r="K18" i="149"/>
  <c r="K16" i="149"/>
  <c r="J16" i="150"/>
  <c r="J16" i="148"/>
  <c r="K44" i="148"/>
  <c r="J11" i="150"/>
  <c r="J11" i="148"/>
  <c r="K11" i="149"/>
  <c r="K34" i="163"/>
  <c r="E27" i="62"/>
  <c r="E21" i="62"/>
  <c r="G26" i="48"/>
  <c r="N23" i="163" s="1"/>
  <c r="C46" i="167"/>
  <c r="E23" i="62"/>
  <c r="G23" i="62" s="1"/>
  <c r="N22" i="163"/>
  <c r="G22" i="163" s="1"/>
  <c r="M22" i="163" s="1"/>
  <c r="I36" i="62"/>
  <c r="M24" i="87"/>
  <c r="M45" i="148" s="1"/>
  <c r="G37" i="48"/>
  <c r="N34" i="163" s="1"/>
  <c r="I32" i="62"/>
  <c r="G32" i="48"/>
  <c r="N29" i="163" s="1"/>
  <c r="M37" i="87"/>
  <c r="N9" i="163"/>
  <c r="I9" i="163" s="1"/>
  <c r="M9" i="163" s="1"/>
  <c r="O9" i="163" s="1"/>
  <c r="U39" i="62"/>
  <c r="E14" i="62"/>
  <c r="E26" i="48"/>
  <c r="K22" i="108"/>
  <c r="K25" i="108"/>
  <c r="K38" i="108"/>
  <c r="K14" i="119"/>
  <c r="K27" i="119"/>
  <c r="K29" i="119"/>
  <c r="K30" i="119"/>
  <c r="E17" i="62"/>
  <c r="E12" i="62"/>
  <c r="K36" i="108"/>
  <c r="P26" i="48"/>
  <c r="N10" i="163"/>
  <c r="I10" i="163" s="1"/>
  <c r="M10" i="163" s="1"/>
  <c r="K15" i="88"/>
  <c r="K22" i="88"/>
  <c r="K24" i="88"/>
  <c r="K25" i="119"/>
  <c r="K46" i="148"/>
  <c r="M13" i="87"/>
  <c r="K14" i="120"/>
  <c r="K21" i="120"/>
  <c r="K23" i="120"/>
  <c r="G71" i="167"/>
  <c r="C71" i="167"/>
  <c r="E23" i="163"/>
  <c r="N7" i="163"/>
  <c r="W15" i="62"/>
  <c r="K18" i="148"/>
  <c r="L18" i="149"/>
  <c r="K18" i="85"/>
  <c r="K29" i="85"/>
  <c r="L26" i="85"/>
  <c r="W14" i="62"/>
  <c r="N8" i="163"/>
  <c r="I8" i="163" s="1"/>
  <c r="M8" i="163" s="1"/>
  <c r="O8" i="163" s="1"/>
  <c r="C52" i="167"/>
  <c r="K8" i="148"/>
  <c r="K11" i="148"/>
  <c r="L11" i="149"/>
  <c r="E29" i="163"/>
  <c r="H13" i="163"/>
  <c r="H47" i="163"/>
  <c r="K10" i="150"/>
  <c r="L10" i="149"/>
  <c r="N15" i="163"/>
  <c r="I15" i="163" s="1"/>
  <c r="M15" i="163" s="1"/>
  <c r="O15" i="163" s="1"/>
  <c r="M16" i="87"/>
  <c r="N16" i="149" s="1"/>
  <c r="C94" i="167"/>
  <c r="K45" i="87"/>
  <c r="G16" i="48"/>
  <c r="C31" i="167" s="1"/>
  <c r="N11" i="163"/>
  <c r="I11" i="163" s="1"/>
  <c r="M11" i="163" s="1"/>
  <c r="C59" i="167"/>
  <c r="E15" i="62"/>
  <c r="M12" i="87"/>
  <c r="M12" i="150" s="1"/>
  <c r="H28" i="85"/>
  <c r="G29" i="85"/>
  <c r="K12" i="148"/>
  <c r="K12" i="150"/>
  <c r="L12" i="149"/>
  <c r="E13" i="163"/>
  <c r="E47" i="163"/>
  <c r="L35" i="87"/>
  <c r="L20" i="87"/>
  <c r="L59" i="87"/>
  <c r="E18" i="150"/>
  <c r="E20" i="87"/>
  <c r="K39" i="108"/>
  <c r="K40" i="108" s="1"/>
  <c r="K41" i="108" s="1"/>
  <c r="N49" i="163"/>
  <c r="D41" i="168"/>
  <c r="D40" i="159" s="1"/>
  <c r="D41" i="159" s="1"/>
  <c r="I46" i="148"/>
  <c r="F18" i="150"/>
  <c r="J59" i="87"/>
  <c r="F14" i="148"/>
  <c r="G22" i="149"/>
  <c r="E14" i="150"/>
  <c r="G14" i="149"/>
  <c r="J46" i="148"/>
  <c r="G14" i="150"/>
  <c r="J23" i="163"/>
  <c r="F50" i="163"/>
  <c r="C37" i="165"/>
  <c r="F22" i="149"/>
  <c r="H46" i="148"/>
  <c r="H14" i="150"/>
  <c r="G59" i="150"/>
  <c r="H14" i="148"/>
  <c r="I14" i="149"/>
  <c r="E46" i="148"/>
  <c r="H59" i="150"/>
  <c r="F59" i="150"/>
  <c r="H39" i="108"/>
  <c r="H40" i="108"/>
  <c r="H41" i="108"/>
  <c r="K14" i="149"/>
  <c r="G46" i="148"/>
  <c r="G32" i="159"/>
  <c r="G34" i="159"/>
  <c r="G35" i="159"/>
  <c r="F14" i="150"/>
  <c r="G22" i="108"/>
  <c r="G25" i="108"/>
  <c r="G38" i="108"/>
  <c r="F14" i="149"/>
  <c r="F28" i="62"/>
  <c r="J39" i="108"/>
  <c r="J40" i="108"/>
  <c r="J41" i="108"/>
  <c r="J14" i="149"/>
  <c r="H22" i="149"/>
  <c r="E14" i="148"/>
  <c r="F22" i="108"/>
  <c r="F25" i="108"/>
  <c r="F38" i="108"/>
  <c r="J14" i="148"/>
  <c r="I14" i="148"/>
  <c r="E29" i="119"/>
  <c r="E30" i="119"/>
  <c r="I39" i="108"/>
  <c r="I40" i="108"/>
  <c r="I41" i="108"/>
  <c r="J22" i="149"/>
  <c r="J58" i="87"/>
  <c r="I22" i="149"/>
  <c r="E60" i="150"/>
  <c r="E39" i="108"/>
  <c r="E40" i="108"/>
  <c r="E41" i="108"/>
  <c r="G39" i="108"/>
  <c r="E59" i="150"/>
  <c r="J14" i="150"/>
  <c r="G14" i="148"/>
  <c r="I14" i="150"/>
  <c r="G21" i="163"/>
  <c r="G61" i="87"/>
  <c r="G62" i="87"/>
  <c r="F46" i="148"/>
  <c r="H14" i="149"/>
  <c r="H59" i="87"/>
  <c r="H23" i="149"/>
  <c r="E24" i="88"/>
  <c r="F18" i="148"/>
  <c r="G18" i="149"/>
  <c r="F39" i="108"/>
  <c r="F18" i="149"/>
  <c r="E18" i="148"/>
  <c r="L9" i="148"/>
  <c r="L32" i="163"/>
  <c r="M17" i="149"/>
  <c r="E16" i="48"/>
  <c r="O86" i="167"/>
  <c r="O89" i="167"/>
  <c r="I59" i="150"/>
  <c r="K45" i="163"/>
  <c r="L12" i="148"/>
  <c r="L45" i="87"/>
  <c r="M8" i="149"/>
  <c r="E16" i="62"/>
  <c r="E22" i="62"/>
  <c r="L56" i="87"/>
  <c r="L17" i="148"/>
  <c r="M19" i="149"/>
  <c r="L29" i="85"/>
  <c r="H29" i="85"/>
  <c r="M36" i="108"/>
  <c r="N18" i="149"/>
  <c r="F34" i="62"/>
  <c r="M14" i="119"/>
  <c r="M27" i="119"/>
  <c r="M29" i="119"/>
  <c r="M30" i="119"/>
  <c r="M9" i="150"/>
  <c r="M39" i="108"/>
  <c r="L22" i="108"/>
  <c r="M25" i="119"/>
  <c r="M15" i="88"/>
  <c r="M22" i="88"/>
  <c r="M24" i="88"/>
  <c r="M14" i="120"/>
  <c r="M21" i="120" s="1"/>
  <c r="M22" i="108"/>
  <c r="M18" i="150"/>
  <c r="L11" i="150"/>
  <c r="G83" i="167"/>
  <c r="L36" i="108"/>
  <c r="L60" i="87"/>
  <c r="L17" i="150"/>
  <c r="L45" i="148"/>
  <c r="L19" i="148"/>
  <c r="L39" i="108"/>
  <c r="N47" i="163"/>
  <c r="L19" i="150"/>
  <c r="M18" i="148"/>
  <c r="L8" i="149"/>
  <c r="E39" i="62"/>
  <c r="M11" i="150"/>
  <c r="K19" i="148"/>
  <c r="I28" i="62"/>
  <c r="K17" i="150"/>
  <c r="L17" i="149"/>
  <c r="K17" i="148"/>
  <c r="L13" i="149"/>
  <c r="K13" i="148"/>
  <c r="K13" i="150"/>
  <c r="M11" i="149"/>
  <c r="L11" i="148"/>
  <c r="L19" i="149"/>
  <c r="G13" i="62"/>
  <c r="K16" i="150"/>
  <c r="L16" i="149"/>
  <c r="K16" i="148"/>
  <c r="K60" i="87"/>
  <c r="K56" i="87"/>
  <c r="M17" i="150"/>
  <c r="M9" i="148"/>
  <c r="N9" i="149"/>
  <c r="I23" i="163"/>
  <c r="K9" i="150"/>
  <c r="L9" i="149"/>
  <c r="K9" i="148"/>
  <c r="K14" i="87"/>
  <c r="O42" i="163"/>
  <c r="L18" i="148"/>
  <c r="M10" i="149"/>
  <c r="M16" i="149"/>
  <c r="M18" i="149"/>
  <c r="L10" i="150"/>
  <c r="M44" i="148"/>
  <c r="G52" i="167"/>
  <c r="L14" i="119"/>
  <c r="L27" i="119"/>
  <c r="L29" i="119"/>
  <c r="L30" i="119"/>
  <c r="L16" i="148"/>
  <c r="L44" i="148"/>
  <c r="L25" i="119"/>
  <c r="L46" i="148"/>
  <c r="L18" i="150"/>
  <c r="G53" i="167"/>
  <c r="G63" i="150"/>
  <c r="H25" i="149"/>
  <c r="I20" i="150"/>
  <c r="J20" i="150"/>
  <c r="L9" i="150"/>
  <c r="F40" i="108"/>
  <c r="F41" i="108"/>
  <c r="I20" i="148"/>
  <c r="I59" i="87"/>
  <c r="I61" i="87"/>
  <c r="I62" i="87"/>
  <c r="G48" i="148"/>
  <c r="K22" i="149"/>
  <c r="F23" i="149"/>
  <c r="E61" i="87"/>
  <c r="E47" i="148"/>
  <c r="J61" i="87"/>
  <c r="J62" i="87"/>
  <c r="G40" i="108"/>
  <c r="G41" i="108"/>
  <c r="J59" i="150"/>
  <c r="G62" i="150"/>
  <c r="H60" i="150"/>
  <c r="H20" i="150"/>
  <c r="G60" i="150"/>
  <c r="G37" i="159"/>
  <c r="H20" i="148"/>
  <c r="H24" i="149"/>
  <c r="M9" i="149"/>
  <c r="I20" i="149"/>
  <c r="J20" i="148"/>
  <c r="J60" i="150"/>
  <c r="J20" i="149"/>
  <c r="G20" i="150"/>
  <c r="H20" i="149"/>
  <c r="G20" i="148"/>
  <c r="G23" i="149"/>
  <c r="F61" i="87"/>
  <c r="F47" i="148"/>
  <c r="F60" i="150"/>
  <c r="H61" i="87"/>
  <c r="H47" i="148"/>
  <c r="G20" i="149"/>
  <c r="F20" i="150"/>
  <c r="F20" i="148"/>
  <c r="K20" i="149"/>
  <c r="L14" i="87"/>
  <c r="L58" i="87"/>
  <c r="L61" i="87"/>
  <c r="L62" i="87"/>
  <c r="L12" i="150"/>
  <c r="M12" i="149"/>
  <c r="L8" i="148"/>
  <c r="L8" i="150"/>
  <c r="I23" i="149"/>
  <c r="M23" i="149"/>
  <c r="C79" i="167"/>
  <c r="N19" i="163"/>
  <c r="L20" i="149"/>
  <c r="K20" i="148"/>
  <c r="K59" i="87"/>
  <c r="K20" i="150"/>
  <c r="K58" i="87"/>
  <c r="K14" i="148"/>
  <c r="K14" i="150"/>
  <c r="L14" i="149"/>
  <c r="E45" i="163"/>
  <c r="E49" i="163"/>
  <c r="E50" i="163"/>
  <c r="C36" i="165"/>
  <c r="I63" i="150"/>
  <c r="J25" i="149"/>
  <c r="J63" i="150"/>
  <c r="K25" i="149"/>
  <c r="J23" i="149"/>
  <c r="I62" i="150"/>
  <c r="I48" i="148"/>
  <c r="J24" i="149"/>
  <c r="I60" i="150"/>
  <c r="I47" i="148"/>
  <c r="J62" i="150"/>
  <c r="G47" i="148"/>
  <c r="F24" i="149"/>
  <c r="E62" i="87"/>
  <c r="E62" i="150"/>
  <c r="H62" i="87"/>
  <c r="H62" i="150"/>
  <c r="L14" i="148"/>
  <c r="F20" i="149"/>
  <c r="E20" i="148"/>
  <c r="E20" i="150"/>
  <c r="K23" i="149"/>
  <c r="F62" i="87"/>
  <c r="F62" i="150"/>
  <c r="G24" i="149"/>
  <c r="J47" i="148"/>
  <c r="J48" i="148"/>
  <c r="M20" i="149"/>
  <c r="I24" i="149"/>
  <c r="K61" i="87"/>
  <c r="K59" i="150"/>
  <c r="L22" i="149"/>
  <c r="O27" i="163"/>
  <c r="H45" i="163"/>
  <c r="K60" i="150"/>
  <c r="L23" i="149"/>
  <c r="L60" i="150"/>
  <c r="L20" i="150"/>
  <c r="L20" i="148"/>
  <c r="H63" i="150"/>
  <c r="I25" i="149"/>
  <c r="E63" i="150"/>
  <c r="F25" i="149"/>
  <c r="F63" i="150"/>
  <c r="G25" i="149"/>
  <c r="E48" i="148"/>
  <c r="H48" i="148"/>
  <c r="K24" i="149"/>
  <c r="F48" i="148"/>
  <c r="L48" i="148"/>
  <c r="L24" i="149"/>
  <c r="K62" i="150"/>
  <c r="K62" i="87"/>
  <c r="K47" i="148"/>
  <c r="K63" i="150"/>
  <c r="L25" i="149"/>
  <c r="L47" i="148"/>
  <c r="K48" i="148"/>
  <c r="W48" i="62"/>
  <c r="O47" i="62"/>
  <c r="W44" i="62"/>
  <c r="O44" i="62"/>
  <c r="W43" i="62"/>
  <c r="O43" i="62"/>
  <c r="K37" i="62"/>
  <c r="W32" i="62"/>
  <c r="W31" i="62"/>
  <c r="W23" i="62"/>
  <c r="O23" i="62"/>
  <c r="K23" i="62"/>
  <c r="W22" i="62"/>
  <c r="W16" i="62"/>
  <c r="O16" i="62"/>
  <c r="K15" i="62"/>
  <c r="O13" i="62"/>
  <c r="W38" i="62"/>
  <c r="K48" i="62"/>
  <c r="V18" i="62"/>
  <c r="V34" i="62"/>
  <c r="O30" i="62"/>
  <c r="V28" i="62"/>
  <c r="W26" i="62"/>
  <c r="W21" i="62"/>
  <c r="N49" i="62"/>
  <c r="G46" i="62" l="1"/>
  <c r="F39" i="62"/>
  <c r="N53" i="62"/>
  <c r="K26" i="62"/>
  <c r="J39" i="62"/>
  <c r="O17" i="62"/>
  <c r="J18" i="62"/>
  <c r="N39" i="62"/>
  <c r="K31" i="62"/>
  <c r="K43" i="62"/>
  <c r="O12" i="62"/>
  <c r="K17" i="62"/>
  <c r="O46" i="62"/>
  <c r="N54" i="62"/>
  <c r="K32" i="62"/>
  <c r="N28" i="62"/>
  <c r="K44" i="62"/>
  <c r="K38" i="62"/>
  <c r="N50" i="62"/>
  <c r="O41" i="62"/>
  <c r="K14" i="62"/>
  <c r="J24" i="62"/>
  <c r="J52" i="62"/>
  <c r="N24" i="62"/>
  <c r="O14" i="62"/>
  <c r="O45" i="62"/>
  <c r="K20" i="62"/>
  <c r="N18" i="62"/>
  <c r="J54" i="62"/>
  <c r="N34" i="62"/>
  <c r="U33" i="191"/>
  <c r="T29" i="191"/>
  <c r="T29" i="192"/>
  <c r="U33" i="192"/>
  <c r="Q10" i="62"/>
  <c r="R10" i="62" s="1"/>
  <c r="S10" i="62" s="1"/>
  <c r="Y10" i="62" s="1"/>
  <c r="Z10" i="62" s="1"/>
  <c r="AA10" i="62" s="1"/>
  <c r="U10" i="62"/>
  <c r="V10" i="62" s="1"/>
  <c r="W10" i="62" s="1"/>
  <c r="G30" i="62"/>
  <c r="K49" i="62"/>
  <c r="R52" i="62"/>
  <c r="G37" i="62"/>
  <c r="O49" i="62"/>
  <c r="S16" i="62"/>
  <c r="W47" i="62"/>
  <c r="N52" i="62"/>
  <c r="N56" i="62" s="1"/>
  <c r="J50" i="62"/>
  <c r="J34" i="62"/>
  <c r="G16" i="62"/>
  <c r="G21" i="62"/>
  <c r="O33" i="62"/>
  <c r="J53" i="62"/>
  <c r="R53" i="62"/>
  <c r="R34" i="62"/>
  <c r="G14" i="62"/>
  <c r="G15" i="62"/>
  <c r="G44" i="62"/>
  <c r="W37" i="62"/>
  <c r="O21" i="62"/>
  <c r="F18" i="62"/>
  <c r="K36" i="62"/>
  <c r="O22" i="62"/>
  <c r="T12" i="48"/>
  <c r="T11" i="48"/>
  <c r="T14" i="48"/>
  <c r="T10" i="48"/>
  <c r="T15" i="48"/>
  <c r="T13" i="48"/>
  <c r="W36" i="62"/>
  <c r="P45" i="87"/>
  <c r="N13" i="163"/>
  <c r="N10" i="149"/>
  <c r="M12" i="163"/>
  <c r="O12" i="163" s="1"/>
  <c r="M8" i="150"/>
  <c r="C96" i="183"/>
  <c r="W17" i="62"/>
  <c r="G42" i="176"/>
  <c r="I15" i="176"/>
  <c r="M15" i="176" s="1"/>
  <c r="O15" i="176" s="1"/>
  <c r="D30" i="161"/>
  <c r="D30" i="178" s="1"/>
  <c r="G53" i="48"/>
  <c r="N50" i="163" s="1"/>
  <c r="J32" i="48"/>
  <c r="N29" i="172" s="1"/>
  <c r="J37" i="48"/>
  <c r="N34" i="172" s="1"/>
  <c r="N39" i="87"/>
  <c r="N60" i="87" s="1"/>
  <c r="AJ36" i="48"/>
  <c r="C102" i="183"/>
  <c r="M36" i="62"/>
  <c r="O36" i="62" s="1"/>
  <c r="O39" i="62" s="1"/>
  <c r="N33" i="172"/>
  <c r="G33" i="172" s="1"/>
  <c r="N26" i="172"/>
  <c r="G26" i="172" s="1"/>
  <c r="M26" i="172" s="1"/>
  <c r="O26" i="172" s="1"/>
  <c r="I16" i="48"/>
  <c r="M16" i="150"/>
  <c r="N48" i="163"/>
  <c r="J52" i="48"/>
  <c r="M16" i="148"/>
  <c r="U24" i="62"/>
  <c r="E53" i="62"/>
  <c r="M51" i="48"/>
  <c r="M33" i="176"/>
  <c r="O33" i="176" s="1"/>
  <c r="G34" i="176"/>
  <c r="G41" i="176"/>
  <c r="M41" i="176" s="1"/>
  <c r="O41" i="176" s="1"/>
  <c r="K51" i="48"/>
  <c r="M48" i="48"/>
  <c r="AC36" i="48"/>
  <c r="I37" i="48"/>
  <c r="M50" i="48"/>
  <c r="N47" i="174" s="1"/>
  <c r="P52" i="48"/>
  <c r="N49" i="176" s="1"/>
  <c r="S31" i="62"/>
  <c r="L51" i="48"/>
  <c r="S43" i="62"/>
  <c r="AH37" i="48"/>
  <c r="K50" i="48"/>
  <c r="G26" i="174"/>
  <c r="M26" i="174" s="1"/>
  <c r="O26" i="174" s="1"/>
  <c r="K31" i="174"/>
  <c r="M31" i="174" s="1"/>
  <c r="O31" i="174" s="1"/>
  <c r="C73" i="182"/>
  <c r="F16" i="48"/>
  <c r="I26" i="48"/>
  <c r="G33" i="174"/>
  <c r="G34" i="174" s="1"/>
  <c r="C91" i="182"/>
  <c r="L16" i="48"/>
  <c r="L22" i="48"/>
  <c r="L37" i="48"/>
  <c r="W28" i="62"/>
  <c r="D31" i="168"/>
  <c r="I17" i="174"/>
  <c r="M17" i="174" s="1"/>
  <c r="S14" i="62"/>
  <c r="I32" i="48"/>
  <c r="S42" i="62"/>
  <c r="I9" i="174"/>
  <c r="M9" i="174" s="1"/>
  <c r="O9" i="174" s="1"/>
  <c r="O37" i="48"/>
  <c r="O48" i="48"/>
  <c r="I53" i="62"/>
  <c r="D42" i="168"/>
  <c r="M10" i="148"/>
  <c r="M45" i="87"/>
  <c r="P25" i="87"/>
  <c r="K33" i="62"/>
  <c r="P20" i="87"/>
  <c r="E45" i="176"/>
  <c r="M38" i="176"/>
  <c r="O38" i="176" s="1"/>
  <c r="E49" i="176"/>
  <c r="E50" i="176" s="1"/>
  <c r="C36" i="177" s="1"/>
  <c r="O44" i="172"/>
  <c r="M37" i="174"/>
  <c r="O37" i="174" s="1"/>
  <c r="K47" i="172"/>
  <c r="M12" i="176"/>
  <c r="O12" i="176" s="1"/>
  <c r="G13" i="176"/>
  <c r="Q28" i="62"/>
  <c r="I18" i="62"/>
  <c r="I39" i="62"/>
  <c r="I24" i="62"/>
  <c r="U28" i="62"/>
  <c r="M34" i="62"/>
  <c r="D30" i="159"/>
  <c r="I34" i="62"/>
  <c r="O35" i="87"/>
  <c r="N20" i="87"/>
  <c r="E58" i="48"/>
  <c r="E61" i="48"/>
  <c r="K30" i="62"/>
  <c r="N12" i="149"/>
  <c r="M12" i="148"/>
  <c r="G45" i="163"/>
  <c r="M56" i="87"/>
  <c r="N8" i="149"/>
  <c r="M14" i="87"/>
  <c r="M58" i="87" s="1"/>
  <c r="N22" i="149" s="1"/>
  <c r="I50" i="48"/>
  <c r="L50" i="48"/>
  <c r="L53" i="48" s="1"/>
  <c r="L54" i="48" s="1"/>
  <c r="Z36" i="48"/>
  <c r="X36" i="48" s="1"/>
  <c r="Z34" i="48"/>
  <c r="X34" i="48" s="1"/>
  <c r="Z33" i="48"/>
  <c r="O28" i="163"/>
  <c r="L34" i="163"/>
  <c r="L48" i="163"/>
  <c r="L50" i="163" s="1"/>
  <c r="C43" i="165" s="1"/>
  <c r="M32" i="163"/>
  <c r="O32" i="163" s="1"/>
  <c r="L32" i="174"/>
  <c r="S37" i="62"/>
  <c r="M37" i="48"/>
  <c r="Z35" i="48"/>
  <c r="X35" i="48" s="1"/>
  <c r="I52" i="48"/>
  <c r="I48" i="48"/>
  <c r="C94" i="189"/>
  <c r="N22" i="172"/>
  <c r="G22" i="172" s="1"/>
  <c r="M22" i="172" s="1"/>
  <c r="O22" i="172" s="1"/>
  <c r="N24" i="87"/>
  <c r="M27" i="62"/>
  <c r="O27" i="62" s="1"/>
  <c r="O28" i="62" s="1"/>
  <c r="J26" i="48"/>
  <c r="M15" i="62"/>
  <c r="J16" i="48"/>
  <c r="Y13" i="48" s="1"/>
  <c r="N11" i="87"/>
  <c r="N10" i="172"/>
  <c r="I10" i="172" s="1"/>
  <c r="M10" i="172" s="1"/>
  <c r="O10" i="172" s="1"/>
  <c r="P16" i="48"/>
  <c r="C53" i="183"/>
  <c r="J50" i="48"/>
  <c r="M42" i="62"/>
  <c r="J48" i="48"/>
  <c r="N45" i="172" s="1"/>
  <c r="N37" i="172"/>
  <c r="J37" i="172" s="1"/>
  <c r="J47" i="172" s="1"/>
  <c r="J51" i="48"/>
  <c r="N48" i="87"/>
  <c r="N56" i="87" s="1"/>
  <c r="G43" i="62"/>
  <c r="E54" i="62"/>
  <c r="M25" i="174"/>
  <c r="P51" i="48"/>
  <c r="P50" i="48"/>
  <c r="P32" i="48"/>
  <c r="G25" i="176"/>
  <c r="M25" i="176" s="1"/>
  <c r="G34" i="163"/>
  <c r="N17" i="149"/>
  <c r="M17" i="148"/>
  <c r="N48" i="174"/>
  <c r="D36" i="170"/>
  <c r="C102" i="182"/>
  <c r="M22" i="48"/>
  <c r="I18" i="174"/>
  <c r="M18" i="174" s="1"/>
  <c r="O18" i="174" s="1"/>
  <c r="O20" i="87"/>
  <c r="S23" i="62"/>
  <c r="F51" i="48"/>
  <c r="F32" i="48"/>
  <c r="F50" i="48"/>
  <c r="O51" i="48"/>
  <c r="H58" i="48"/>
  <c r="H59" i="48" s="1"/>
  <c r="H61" i="48"/>
  <c r="I18" i="176"/>
  <c r="M18" i="176" s="1"/>
  <c r="O18" i="176" s="1"/>
  <c r="J47" i="163"/>
  <c r="J50" i="163" s="1"/>
  <c r="C41" i="165" s="1"/>
  <c r="H49" i="163"/>
  <c r="H50" i="163" s="1"/>
  <c r="C39" i="165" s="1"/>
  <c r="M38" i="163"/>
  <c r="O38" i="163" s="1"/>
  <c r="P48" i="48"/>
  <c r="P56" i="87"/>
  <c r="U50" i="62"/>
  <c r="H36" i="176"/>
  <c r="M36" i="176" s="1"/>
  <c r="M44" i="176"/>
  <c r="O44" i="176" s="1"/>
  <c r="K45" i="176"/>
  <c r="K49" i="176"/>
  <c r="M37" i="176"/>
  <c r="O37" i="176" s="1"/>
  <c r="J48" i="176"/>
  <c r="J47" i="176"/>
  <c r="J45" i="176"/>
  <c r="G42" i="174"/>
  <c r="M42" i="174" s="1"/>
  <c r="S47" i="62"/>
  <c r="M15" i="172"/>
  <c r="M19" i="172" s="1"/>
  <c r="I19" i="172"/>
  <c r="I48" i="172" s="1"/>
  <c r="K12" i="62"/>
  <c r="M21" i="163"/>
  <c r="M23" i="163" s="1"/>
  <c r="O23" i="163" s="1"/>
  <c r="G23" i="163"/>
  <c r="G32" i="62"/>
  <c r="G34" i="62" s="1"/>
  <c r="E34" i="62"/>
  <c r="L26" i="48"/>
  <c r="O24" i="48"/>
  <c r="O26" i="48" s="1"/>
  <c r="D34" i="168"/>
  <c r="D36" i="168" s="1"/>
  <c r="G42" i="62"/>
  <c r="S17" i="62"/>
  <c r="O18" i="172"/>
  <c r="M35" i="87"/>
  <c r="E18" i="62"/>
  <c r="M24" i="62"/>
  <c r="G12" i="174"/>
  <c r="C113" i="183"/>
  <c r="I51" i="48"/>
  <c r="M52" i="48"/>
  <c r="I16" i="174"/>
  <c r="N14" i="87"/>
  <c r="M25" i="87"/>
  <c r="M46" i="148" s="1"/>
  <c r="O10" i="163"/>
  <c r="I52" i="62"/>
  <c r="O17" i="163"/>
  <c r="C31" i="182"/>
  <c r="H38" i="174"/>
  <c r="O27" i="174"/>
  <c r="L48" i="186"/>
  <c r="F48" i="48"/>
  <c r="L48" i="48"/>
  <c r="K21" i="62"/>
  <c r="G17" i="62"/>
  <c r="AD35" i="48"/>
  <c r="AD36" i="48" s="1"/>
  <c r="E24" i="62"/>
  <c r="N29" i="87"/>
  <c r="N35" i="87" s="1"/>
  <c r="K28" i="62"/>
  <c r="E52" i="62"/>
  <c r="M37" i="163"/>
  <c r="O37" i="163" s="1"/>
  <c r="E50" i="62"/>
  <c r="I54" i="62"/>
  <c r="M21" i="176"/>
  <c r="G23" i="176"/>
  <c r="I7" i="172"/>
  <c r="M26" i="176"/>
  <c r="O26" i="176" s="1"/>
  <c r="I9" i="172"/>
  <c r="M9" i="172" s="1"/>
  <c r="O9" i="172" s="1"/>
  <c r="O45" i="87"/>
  <c r="I11" i="174"/>
  <c r="J45" i="163"/>
  <c r="I50" i="62"/>
  <c r="O22" i="163"/>
  <c r="G22" i="62"/>
  <c r="G43" i="174"/>
  <c r="M43" i="174" s="1"/>
  <c r="O43" i="174" s="1"/>
  <c r="O40" i="174"/>
  <c r="G21" i="174"/>
  <c r="K49" i="172"/>
  <c r="K45" i="172"/>
  <c r="G39" i="172"/>
  <c r="M39" i="172" s="1"/>
  <c r="O39" i="172" s="1"/>
  <c r="O16" i="176"/>
  <c r="K47" i="176"/>
  <c r="O11" i="163"/>
  <c r="E28" i="62"/>
  <c r="G26" i="62"/>
  <c r="M11" i="148"/>
  <c r="N11" i="149"/>
  <c r="M54" i="62"/>
  <c r="G22" i="174"/>
  <c r="M22" i="174" s="1"/>
  <c r="O22" i="174" s="1"/>
  <c r="M19" i="148"/>
  <c r="M19" i="150"/>
  <c r="N19" i="149"/>
  <c r="M20" i="87"/>
  <c r="M20" i="150" s="1"/>
  <c r="C81" i="183"/>
  <c r="G41" i="174"/>
  <c r="M41" i="174" s="1"/>
  <c r="O41" i="174" s="1"/>
  <c r="G36" i="172"/>
  <c r="O40" i="176"/>
  <c r="O28" i="172"/>
  <c r="S12" i="62"/>
  <c r="G49" i="163"/>
  <c r="M36" i="163"/>
  <c r="O36" i="163" s="1"/>
  <c r="J48" i="174"/>
  <c r="J47" i="174"/>
  <c r="G27" i="172"/>
  <c r="M27" i="172" s="1"/>
  <c r="O27" i="172" s="1"/>
  <c r="O10" i="174"/>
  <c r="O39" i="176"/>
  <c r="K34" i="176"/>
  <c r="AG11" i="48"/>
  <c r="I7" i="163"/>
  <c r="L48" i="176"/>
  <c r="L50" i="176" s="1"/>
  <c r="C43" i="177" s="1"/>
  <c r="L34" i="176"/>
  <c r="K45" i="174"/>
  <c r="M44" i="174"/>
  <c r="O44" i="174" s="1"/>
  <c r="O28" i="176"/>
  <c r="S36" i="62"/>
  <c r="O39" i="174"/>
  <c r="H38" i="172"/>
  <c r="G21" i="172"/>
  <c r="S30" i="62"/>
  <c r="M25" i="172"/>
  <c r="G26" i="163"/>
  <c r="G13" i="172"/>
  <c r="M12" i="172"/>
  <c r="O12" i="172" s="1"/>
  <c r="O17" i="176"/>
  <c r="O11" i="176"/>
  <c r="I16" i="163"/>
  <c r="M16" i="163" s="1"/>
  <c r="M19" i="163" s="1"/>
  <c r="G27" i="62"/>
  <c r="S41" i="62"/>
  <c r="S28" i="62"/>
  <c r="I48" i="186"/>
  <c r="S20" i="62"/>
  <c r="S32" i="62"/>
  <c r="S44" i="62"/>
  <c r="I93" i="189"/>
  <c r="L93" i="189" s="1"/>
  <c r="G36" i="62"/>
  <c r="N19" i="172"/>
  <c r="I48" i="187"/>
  <c r="G45" i="62"/>
  <c r="L96" i="187"/>
  <c r="M60" i="87"/>
  <c r="G38" i="62"/>
  <c r="R39" i="62"/>
  <c r="O34" i="62"/>
  <c r="K81" i="167"/>
  <c r="I88" i="167" s="1"/>
  <c r="K88" i="167" s="1"/>
  <c r="G42" i="167"/>
  <c r="J88" i="189"/>
  <c r="J90" i="189" s="1"/>
  <c r="Q94" i="189"/>
  <c r="I96" i="189"/>
  <c r="L35" i="189"/>
  <c r="I88" i="189"/>
  <c r="I90" i="189" s="1"/>
  <c r="I40" i="189"/>
  <c r="I42" i="189" s="1"/>
  <c r="L47" i="189"/>
  <c r="L48" i="189" s="1"/>
  <c r="L95" i="189"/>
  <c r="L96" i="189" s="1"/>
  <c r="L21" i="120"/>
  <c r="L59" i="150" s="1"/>
  <c r="L14" i="150"/>
  <c r="F53" i="62"/>
  <c r="F50" i="62"/>
  <c r="F24" i="62"/>
  <c r="F52" i="62"/>
  <c r="G12" i="62"/>
  <c r="M14" i="149"/>
  <c r="G20" i="62"/>
  <c r="G48" i="62"/>
  <c r="F54" i="62"/>
  <c r="E85" i="167"/>
  <c r="L47" i="187"/>
  <c r="L48" i="187" s="1"/>
  <c r="G24" i="184"/>
  <c r="E24" i="184"/>
  <c r="E24" i="185"/>
  <c r="M40" i="108"/>
  <c r="M41" i="108" s="1"/>
  <c r="M23" i="120"/>
  <c r="M44" i="163"/>
  <c r="N52" i="163"/>
  <c r="G54" i="48"/>
  <c r="F24" i="185"/>
  <c r="I96" i="187"/>
  <c r="F24" i="184"/>
  <c r="G24" i="185"/>
  <c r="L40" i="108"/>
  <c r="L41" i="108" s="1"/>
  <c r="L95" i="186"/>
  <c r="L96" i="186" s="1"/>
  <c r="I96" i="186"/>
  <c r="E42" i="167"/>
  <c r="K35" i="167"/>
  <c r="H45" i="167" s="1"/>
  <c r="K45" i="167" s="1"/>
  <c r="M22" i="149"/>
  <c r="L24" i="88"/>
  <c r="J18" i="85"/>
  <c r="L18" i="85"/>
  <c r="O54" i="62" l="1"/>
  <c r="K39" i="62"/>
  <c r="K54" i="62"/>
  <c r="J56" i="62"/>
  <c r="D45" i="159" s="1"/>
  <c r="K50" i="62"/>
  <c r="K18" i="62"/>
  <c r="D34" i="179"/>
  <c r="D35" i="179" s="1"/>
  <c r="K50" i="176"/>
  <c r="C42" i="177" s="1"/>
  <c r="I19" i="176"/>
  <c r="I48" i="176" s="1"/>
  <c r="W39" i="62"/>
  <c r="M28" i="62"/>
  <c r="W20" i="62"/>
  <c r="W24" i="62" s="1"/>
  <c r="O24" i="62"/>
  <c r="U53" i="62"/>
  <c r="N55" i="62"/>
  <c r="D45" i="178"/>
  <c r="O60" i="87"/>
  <c r="C81" i="182"/>
  <c r="T21" i="48"/>
  <c r="T20" i="48"/>
  <c r="T18" i="48"/>
  <c r="T22" i="48"/>
  <c r="T19" i="48"/>
  <c r="M39" i="62"/>
  <c r="AG14" i="48"/>
  <c r="T16" i="48"/>
  <c r="M29" i="174"/>
  <c r="O29" i="174" s="1"/>
  <c r="AG12" i="48"/>
  <c r="G29" i="174"/>
  <c r="AG19" i="48"/>
  <c r="I82" i="167"/>
  <c r="P14" i="87"/>
  <c r="P58" i="87" s="1"/>
  <c r="Q34" i="62"/>
  <c r="O56" i="87"/>
  <c r="K47" i="174"/>
  <c r="K50" i="174" s="1"/>
  <c r="C42" i="175" s="1"/>
  <c r="N45" i="87"/>
  <c r="E56" i="62"/>
  <c r="E55" i="62" s="1"/>
  <c r="P59" i="87"/>
  <c r="F53" i="48"/>
  <c r="F54" i="48" s="1"/>
  <c r="Q50" i="62"/>
  <c r="O42" i="174"/>
  <c r="M33" i="172"/>
  <c r="O33" i="172" s="1"/>
  <c r="G34" i="172"/>
  <c r="N49" i="172"/>
  <c r="D41" i="161"/>
  <c r="M33" i="174"/>
  <c r="O33" i="174" s="1"/>
  <c r="K53" i="48"/>
  <c r="K54" i="48" s="1"/>
  <c r="O14" i="87"/>
  <c r="O58" i="87" s="1"/>
  <c r="G47" i="176"/>
  <c r="D31" i="159"/>
  <c r="D32" i="168"/>
  <c r="D38" i="168" s="1"/>
  <c r="F34" i="168" s="1"/>
  <c r="AC15" i="48"/>
  <c r="O17" i="174"/>
  <c r="K34" i="174"/>
  <c r="AC13" i="48"/>
  <c r="G18" i="62"/>
  <c r="P35" i="87"/>
  <c r="M14" i="150"/>
  <c r="K34" i="62"/>
  <c r="K53" i="62"/>
  <c r="W41" i="62"/>
  <c r="G29" i="176"/>
  <c r="G39" i="62"/>
  <c r="P60" i="87"/>
  <c r="G48" i="176"/>
  <c r="O21" i="163"/>
  <c r="K52" i="62"/>
  <c r="D32" i="159" s="1"/>
  <c r="U54" i="62"/>
  <c r="O25" i="176"/>
  <c r="Q54" i="62"/>
  <c r="M34" i="163"/>
  <c r="O34" i="163" s="1"/>
  <c r="I56" i="62"/>
  <c r="D44" i="159" s="1"/>
  <c r="M59" i="150"/>
  <c r="M34" i="176"/>
  <c r="O34" i="176" s="1"/>
  <c r="N58" i="87"/>
  <c r="N59" i="87"/>
  <c r="S18" i="62"/>
  <c r="J50" i="176"/>
  <c r="C41" i="177" s="1"/>
  <c r="G47" i="172"/>
  <c r="M29" i="176"/>
  <c r="O29" i="176" s="1"/>
  <c r="G28" i="62"/>
  <c r="D34" i="159"/>
  <c r="D35" i="159" s="1"/>
  <c r="F61" i="48"/>
  <c r="F58" i="48"/>
  <c r="F59" i="48" s="1"/>
  <c r="F56" i="48"/>
  <c r="N52" i="174"/>
  <c r="AC11" i="48"/>
  <c r="M50" i="62"/>
  <c r="O42" i="62"/>
  <c r="G48" i="172"/>
  <c r="Q39" i="62"/>
  <c r="AG15" i="48"/>
  <c r="K24" i="62"/>
  <c r="AC19" i="48"/>
  <c r="Q52" i="62"/>
  <c r="M19" i="176"/>
  <c r="M48" i="176" s="1"/>
  <c r="H49" i="176"/>
  <c r="H50" i="176" s="1"/>
  <c r="C39" i="177" s="1"/>
  <c r="I19" i="163"/>
  <c r="I48" i="163" s="1"/>
  <c r="O36" i="176"/>
  <c r="AC12" i="48"/>
  <c r="N47" i="172"/>
  <c r="J53" i="48"/>
  <c r="D31" i="161"/>
  <c r="M32" i="174"/>
  <c r="O32" i="174" s="1"/>
  <c r="L34" i="174"/>
  <c r="L48" i="174"/>
  <c r="L50" i="174" s="1"/>
  <c r="C43" i="175" s="1"/>
  <c r="L61" i="48"/>
  <c r="L56" i="48"/>
  <c r="L58" i="48"/>
  <c r="L59" i="48" s="1"/>
  <c r="G29" i="172"/>
  <c r="J50" i="174"/>
  <c r="C41" i="175" s="1"/>
  <c r="AC10" i="48"/>
  <c r="AG21" i="48"/>
  <c r="O15" i="172"/>
  <c r="Q24" i="62"/>
  <c r="U34" i="62"/>
  <c r="W30" i="62"/>
  <c r="I53" i="48"/>
  <c r="I54" i="48" s="1"/>
  <c r="O16" i="163"/>
  <c r="U18" i="62"/>
  <c r="W13" i="62"/>
  <c r="W18" i="62" s="1"/>
  <c r="Q18" i="62"/>
  <c r="D31" i="179"/>
  <c r="Q53" i="62"/>
  <c r="AC14" i="48"/>
  <c r="AG13" i="48"/>
  <c r="H45" i="176"/>
  <c r="AC20" i="48"/>
  <c r="M52" i="62"/>
  <c r="N61" i="87"/>
  <c r="N62" i="87" s="1"/>
  <c r="O59" i="87"/>
  <c r="N49" i="174"/>
  <c r="M53" i="48"/>
  <c r="S38" i="62"/>
  <c r="C31" i="189"/>
  <c r="H45" i="189" s="1"/>
  <c r="L45" i="189" s="1"/>
  <c r="Y19" i="48"/>
  <c r="Y21" i="48"/>
  <c r="Y10" i="48"/>
  <c r="Y14" i="48"/>
  <c r="N13" i="172"/>
  <c r="Y11" i="48"/>
  <c r="Y12" i="48"/>
  <c r="Y18" i="48"/>
  <c r="Y20" i="48"/>
  <c r="X22" i="48"/>
  <c r="Y15" i="48"/>
  <c r="D42" i="171"/>
  <c r="S24" i="62"/>
  <c r="AG20" i="48"/>
  <c r="U52" i="62"/>
  <c r="O25" i="174"/>
  <c r="M53" i="62"/>
  <c r="AC21" i="48"/>
  <c r="N47" i="176"/>
  <c r="P53" i="48"/>
  <c r="D33" i="161"/>
  <c r="N48" i="172"/>
  <c r="I8" i="176"/>
  <c r="M18" i="62"/>
  <c r="O15" i="62"/>
  <c r="O18" i="62" s="1"/>
  <c r="N14" i="149"/>
  <c r="M14" i="148"/>
  <c r="S52" i="62"/>
  <c r="AC18" i="48"/>
  <c r="O50" i="48"/>
  <c r="O53" i="48" s="1"/>
  <c r="O54" i="48" s="1"/>
  <c r="N48" i="176"/>
  <c r="J45" i="172"/>
  <c r="J48" i="172"/>
  <c r="J50" i="172" s="1"/>
  <c r="C41" i="173" s="1"/>
  <c r="M37" i="172"/>
  <c r="O37" i="172" s="1"/>
  <c r="N25" i="87"/>
  <c r="N23" i="172"/>
  <c r="X33" i="48"/>
  <c r="X37" i="48" s="1"/>
  <c r="Z37" i="48"/>
  <c r="C31" i="183"/>
  <c r="AG18" i="48"/>
  <c r="AG10" i="48"/>
  <c r="O19" i="163"/>
  <c r="M26" i="163"/>
  <c r="M48" i="163" s="1"/>
  <c r="O48" i="163" s="1"/>
  <c r="G48" i="163"/>
  <c r="G29" i="163"/>
  <c r="N52" i="176"/>
  <c r="G54" i="62"/>
  <c r="G48" i="174"/>
  <c r="M7" i="172"/>
  <c r="I13" i="172"/>
  <c r="I47" i="172" s="1"/>
  <c r="I50" i="172" s="1"/>
  <c r="C40" i="173" s="1"/>
  <c r="M36" i="172"/>
  <c r="G45" i="172"/>
  <c r="G49" i="172"/>
  <c r="G50" i="172" s="1"/>
  <c r="C38" i="173" s="1"/>
  <c r="H45" i="172"/>
  <c r="H49" i="172"/>
  <c r="H50" i="172" s="1"/>
  <c r="C39" i="173" s="1"/>
  <c r="M38" i="172"/>
  <c r="O38" i="172" s="1"/>
  <c r="M7" i="163"/>
  <c r="I13" i="163"/>
  <c r="I47" i="163" s="1"/>
  <c r="M12" i="174"/>
  <c r="O12" i="174" s="1"/>
  <c r="G13" i="174"/>
  <c r="G47" i="174" s="1"/>
  <c r="M21" i="174"/>
  <c r="G23" i="174"/>
  <c r="S34" i="62"/>
  <c r="O19" i="172"/>
  <c r="O25" i="172"/>
  <c r="M29" i="172"/>
  <c r="O29" i="172" s="1"/>
  <c r="M16" i="174"/>
  <c r="I19" i="174"/>
  <c r="I48" i="174" s="1"/>
  <c r="O21" i="176"/>
  <c r="M23" i="176"/>
  <c r="O23" i="176" s="1"/>
  <c r="M21" i="172"/>
  <c r="G23" i="172"/>
  <c r="S53" i="62"/>
  <c r="M59" i="87"/>
  <c r="M61" i="87" s="1"/>
  <c r="N20" i="149"/>
  <c r="M20" i="148"/>
  <c r="M11" i="174"/>
  <c r="I13" i="174"/>
  <c r="I47" i="174" s="1"/>
  <c r="G47" i="163"/>
  <c r="M38" i="174"/>
  <c r="O38" i="174" s="1"/>
  <c r="G45" i="176"/>
  <c r="M42" i="176"/>
  <c r="G49" i="176"/>
  <c r="G52" i="62"/>
  <c r="F56" i="62"/>
  <c r="F55" i="62" s="1"/>
  <c r="L23" i="120"/>
  <c r="L63" i="150" s="1"/>
  <c r="I79" i="167"/>
  <c r="I81" i="167"/>
  <c r="I80" i="167"/>
  <c r="G24" i="62"/>
  <c r="G53" i="62"/>
  <c r="G50" i="62"/>
  <c r="G61" i="48"/>
  <c r="G56" i="48"/>
  <c r="C17" i="167"/>
  <c r="G58" i="48"/>
  <c r="G59" i="48" s="1"/>
  <c r="M45" i="163"/>
  <c r="O45" i="163" s="1"/>
  <c r="M49" i="163"/>
  <c r="O44" i="163"/>
  <c r="I36" i="167"/>
  <c r="I37" i="167"/>
  <c r="I34" i="167"/>
  <c r="I33" i="167"/>
  <c r="I38" i="167"/>
  <c r="I35" i="167"/>
  <c r="M24" i="149"/>
  <c r="M25" i="149"/>
  <c r="H56" i="48"/>
  <c r="J55" i="62" l="1"/>
  <c r="O61" i="87"/>
  <c r="O62" i="87" s="1"/>
  <c r="O48" i="176"/>
  <c r="G50" i="176"/>
  <c r="C38" i="177" s="1"/>
  <c r="D37" i="159"/>
  <c r="U56" i="62"/>
  <c r="U55" i="62" s="1"/>
  <c r="Q56" i="62"/>
  <c r="D44" i="179" s="1"/>
  <c r="P61" i="87"/>
  <c r="P62" i="87" s="1"/>
  <c r="K56" i="62"/>
  <c r="K55" i="62" s="1"/>
  <c r="K56" i="48"/>
  <c r="K58" i="48"/>
  <c r="K59" i="48" s="1"/>
  <c r="K61" i="48"/>
  <c r="D40" i="178"/>
  <c r="D41" i="178" s="1"/>
  <c r="D42" i="161"/>
  <c r="I50" i="163"/>
  <c r="C40" i="165" s="1"/>
  <c r="M34" i="174"/>
  <c r="O34" i="174" s="1"/>
  <c r="N52" i="172"/>
  <c r="M56" i="62"/>
  <c r="M55" i="62" s="1"/>
  <c r="I55" i="62"/>
  <c r="O19" i="176"/>
  <c r="AB16" i="48"/>
  <c r="AF21" i="48"/>
  <c r="AB21" i="48"/>
  <c r="X21" i="48"/>
  <c r="G56" i="62"/>
  <c r="G55" i="62" s="1"/>
  <c r="AC22" i="48"/>
  <c r="AF16" i="48"/>
  <c r="D32" i="180"/>
  <c r="D32" i="171"/>
  <c r="AG22" i="48"/>
  <c r="G50" i="163"/>
  <c r="C38" i="165" s="1"/>
  <c r="I50" i="174"/>
  <c r="C40" i="175" s="1"/>
  <c r="D36" i="171"/>
  <c r="D34" i="180" s="1"/>
  <c r="D42" i="170"/>
  <c r="I13" i="176"/>
  <c r="I47" i="176" s="1"/>
  <c r="I50" i="176" s="1"/>
  <c r="C40" i="177" s="1"/>
  <c r="M8" i="176"/>
  <c r="X16" i="48"/>
  <c r="O61" i="48"/>
  <c r="O58" i="48"/>
  <c r="O59" i="48" s="1"/>
  <c r="O56" i="48"/>
  <c r="D32" i="170"/>
  <c r="D38" i="170" s="1"/>
  <c r="F31" i="170" s="1"/>
  <c r="H31" i="170" s="1"/>
  <c r="D32" i="179"/>
  <c r="D37" i="179" s="1"/>
  <c r="F30" i="179" s="1"/>
  <c r="M54" i="48"/>
  <c r="D31" i="178"/>
  <c r="D32" i="161"/>
  <c r="I56" i="48"/>
  <c r="I58" i="48"/>
  <c r="I59" i="48" s="1"/>
  <c r="I61" i="48"/>
  <c r="D34" i="161"/>
  <c r="D36" i="161" s="1"/>
  <c r="D34" i="178" s="1"/>
  <c r="D35" i="178" s="1"/>
  <c r="W34" i="62"/>
  <c r="W52" i="62"/>
  <c r="W53" i="62"/>
  <c r="F34" i="159"/>
  <c r="H34" i="159" s="1"/>
  <c r="H35" i="159" s="1"/>
  <c r="P54" i="48"/>
  <c r="Y22" i="48"/>
  <c r="O50" i="62"/>
  <c r="O53" i="62"/>
  <c r="O52" i="62"/>
  <c r="S39" i="62"/>
  <c r="F31" i="168"/>
  <c r="H31" i="168" s="1"/>
  <c r="D44" i="168"/>
  <c r="F30" i="168"/>
  <c r="F33" i="168"/>
  <c r="F36" i="168" s="1"/>
  <c r="J54" i="48"/>
  <c r="N50" i="172"/>
  <c r="N24" i="149"/>
  <c r="M47" i="148"/>
  <c r="M62" i="87"/>
  <c r="M62" i="150"/>
  <c r="M45" i="172"/>
  <c r="O45" i="172" s="1"/>
  <c r="O36" i="172"/>
  <c r="M49" i="172"/>
  <c r="O49" i="172" s="1"/>
  <c r="M49" i="176"/>
  <c r="O42" i="176"/>
  <c r="M45" i="176"/>
  <c r="O45" i="176" s="1"/>
  <c r="O11" i="174"/>
  <c r="M13" i="174"/>
  <c r="M19" i="174"/>
  <c r="O16" i="174"/>
  <c r="M13" i="172"/>
  <c r="O7" i="172"/>
  <c r="M23" i="172"/>
  <c r="O23" i="172" s="1"/>
  <c r="O21" i="172"/>
  <c r="D44" i="178"/>
  <c r="M13" i="163"/>
  <c r="O7" i="163"/>
  <c r="D44" i="180"/>
  <c r="N23" i="149"/>
  <c r="M60" i="150"/>
  <c r="M23" i="174"/>
  <c r="O23" i="174" s="1"/>
  <c r="O21" i="174"/>
  <c r="M29" i="163"/>
  <c r="O29" i="163" s="1"/>
  <c r="O26" i="163"/>
  <c r="L62" i="150"/>
  <c r="D12" i="167"/>
  <c r="D14" i="167"/>
  <c r="D8" i="167"/>
  <c r="D10" i="167"/>
  <c r="D15" i="167"/>
  <c r="D11" i="167"/>
  <c r="D13" i="167"/>
  <c r="D9" i="167"/>
  <c r="O49" i="163"/>
  <c r="F35" i="159" l="1"/>
  <c r="C45" i="177"/>
  <c r="E38" i="177" s="1"/>
  <c r="F31" i="159"/>
  <c r="H31" i="159" s="1"/>
  <c r="D43" i="159"/>
  <c r="F30" i="159"/>
  <c r="Q55" i="62"/>
  <c r="F34" i="179"/>
  <c r="H34" i="179" s="1"/>
  <c r="H35" i="179" s="1"/>
  <c r="F31" i="179"/>
  <c r="H31" i="179" s="1"/>
  <c r="O56" i="62"/>
  <c r="O55" i="62" s="1"/>
  <c r="D38" i="161"/>
  <c r="D44" i="161" s="1"/>
  <c r="C17" i="189"/>
  <c r="J58" i="48"/>
  <c r="J59" i="48" s="1"/>
  <c r="J61" i="48"/>
  <c r="J56" i="48"/>
  <c r="D32" i="178"/>
  <c r="D37" i="178" s="1"/>
  <c r="C45" i="165"/>
  <c r="E38" i="165" s="1"/>
  <c r="M61" i="48"/>
  <c r="C17" i="182"/>
  <c r="M58" i="48"/>
  <c r="M59" i="48" s="1"/>
  <c r="M56" i="48"/>
  <c r="M13" i="176"/>
  <c r="O8" i="176"/>
  <c r="H30" i="168"/>
  <c r="H32" i="168" s="1"/>
  <c r="F32" i="168"/>
  <c r="F38" i="168" s="1"/>
  <c r="P61" i="48"/>
  <c r="P56" i="48"/>
  <c r="C17" i="183"/>
  <c r="P58" i="48"/>
  <c r="P59" i="48" s="1"/>
  <c r="D35" i="180"/>
  <c r="D37" i="180" s="1"/>
  <c r="F34" i="180" s="1"/>
  <c r="D38" i="171"/>
  <c r="E34" i="168"/>
  <c r="E41" i="168"/>
  <c r="E42" i="168" s="1"/>
  <c r="E30" i="168"/>
  <c r="E31" i="168"/>
  <c r="E33" i="168"/>
  <c r="D44" i="170"/>
  <c r="F33" i="170"/>
  <c r="F34" i="170"/>
  <c r="F30" i="170"/>
  <c r="H30" i="179"/>
  <c r="O49" i="176"/>
  <c r="M47" i="163"/>
  <c r="O13" i="163"/>
  <c r="M48" i="174"/>
  <c r="O48" i="174" s="1"/>
  <c r="O19" i="174"/>
  <c r="M63" i="150"/>
  <c r="M48" i="148"/>
  <c r="N25" i="149"/>
  <c r="O13" i="172"/>
  <c r="M47" i="172"/>
  <c r="O47" i="172" s="1"/>
  <c r="M47" i="174"/>
  <c r="O13" i="174"/>
  <c r="M109" i="167"/>
  <c r="M67" i="167"/>
  <c r="M45" i="167"/>
  <c r="M110" i="167"/>
  <c r="M31" i="167"/>
  <c r="M111" i="167"/>
  <c r="M61" i="167"/>
  <c r="M51" i="167"/>
  <c r="M79" i="167"/>
  <c r="M54" i="167"/>
  <c r="M94" i="167"/>
  <c r="M114" i="167"/>
  <c r="R88" i="167" s="1"/>
  <c r="M107" i="167"/>
  <c r="M89" i="167"/>
  <c r="M48" i="167"/>
  <c r="M108" i="167"/>
  <c r="M88" i="167"/>
  <c r="M102" i="167"/>
  <c r="D12" i="187" l="1"/>
  <c r="D15" i="187"/>
  <c r="D11" i="187"/>
  <c r="D13" i="187"/>
  <c r="D10" i="187"/>
  <c r="D14" i="187"/>
  <c r="D9" i="187"/>
  <c r="D8" i="187"/>
  <c r="E36" i="177"/>
  <c r="E39" i="177"/>
  <c r="E43" i="177"/>
  <c r="E37" i="177"/>
  <c r="E42" i="177"/>
  <c r="E40" i="177"/>
  <c r="E41" i="177"/>
  <c r="F32" i="179"/>
  <c r="F37" i="179" s="1"/>
  <c r="H32" i="179"/>
  <c r="H37" i="179" s="1"/>
  <c r="F32" i="159"/>
  <c r="F37" i="159" s="1"/>
  <c r="H30" i="159"/>
  <c r="H32" i="159" s="1"/>
  <c r="H37" i="159" s="1"/>
  <c r="E30" i="159"/>
  <c r="E40" i="159"/>
  <c r="E41" i="159" s="1"/>
  <c r="E34" i="159"/>
  <c r="E35" i="159" s="1"/>
  <c r="E45" i="159"/>
  <c r="E44" i="159"/>
  <c r="E31" i="159"/>
  <c r="F35" i="179"/>
  <c r="F34" i="161"/>
  <c r="F30" i="161"/>
  <c r="F32" i="161" s="1"/>
  <c r="F31" i="161"/>
  <c r="H31" i="161" s="1"/>
  <c r="F33" i="161"/>
  <c r="F36" i="161" s="1"/>
  <c r="F34" i="178"/>
  <c r="F30" i="178"/>
  <c r="D43" i="178"/>
  <c r="E33" i="170"/>
  <c r="E41" i="170"/>
  <c r="E42" i="170" s="1"/>
  <c r="E31" i="170"/>
  <c r="E30" i="170"/>
  <c r="E34" i="170"/>
  <c r="D14" i="182"/>
  <c r="D12" i="182"/>
  <c r="D8" i="182"/>
  <c r="D10" i="182"/>
  <c r="D11" i="182"/>
  <c r="D13" i="182"/>
  <c r="D9" i="182"/>
  <c r="E36" i="168"/>
  <c r="G34" i="168" s="1"/>
  <c r="H34" i="168" s="1"/>
  <c r="F31" i="180"/>
  <c r="H31" i="180" s="1"/>
  <c r="F30" i="180"/>
  <c r="F31" i="171"/>
  <c r="H31" i="171" s="1"/>
  <c r="F30" i="171"/>
  <c r="F33" i="171"/>
  <c r="F34" i="171"/>
  <c r="D44" i="171"/>
  <c r="E32" i="168"/>
  <c r="M47" i="176"/>
  <c r="O13" i="176"/>
  <c r="E41" i="161"/>
  <c r="E42" i="161" s="1"/>
  <c r="E34" i="161"/>
  <c r="E31" i="161"/>
  <c r="E30" i="161"/>
  <c r="E33" i="161"/>
  <c r="F36" i="170"/>
  <c r="E42" i="165"/>
  <c r="E36" i="165"/>
  <c r="E41" i="165"/>
  <c r="E37" i="165"/>
  <c r="E40" i="165"/>
  <c r="E39" i="165"/>
  <c r="E43" i="165"/>
  <c r="H30" i="161"/>
  <c r="H32" i="161" s="1"/>
  <c r="H34" i="180"/>
  <c r="H35" i="180" s="1"/>
  <c r="F35" i="180"/>
  <c r="D8" i="189"/>
  <c r="D9" i="189"/>
  <c r="D13" i="189"/>
  <c r="D11" i="189"/>
  <c r="D12" i="189"/>
  <c r="D10" i="189"/>
  <c r="H30" i="170"/>
  <c r="H32" i="170" s="1"/>
  <c r="F32" i="170"/>
  <c r="D14" i="183"/>
  <c r="D12" i="183"/>
  <c r="D8" i="183"/>
  <c r="D10" i="183"/>
  <c r="D9" i="183"/>
  <c r="D13" i="183"/>
  <c r="D11" i="183"/>
  <c r="F31" i="178"/>
  <c r="H31" i="178" s="1"/>
  <c r="O47" i="174"/>
  <c r="O47" i="163"/>
  <c r="M50" i="163"/>
  <c r="O50" i="163" s="1"/>
  <c r="M115" i="167"/>
  <c r="R90" i="167" s="1"/>
  <c r="R86" i="167"/>
  <c r="R87" i="167"/>
  <c r="E45" i="177" l="1"/>
  <c r="E32" i="159"/>
  <c r="E37" i="159" s="1"/>
  <c r="E43" i="159" s="1"/>
  <c r="F38" i="170"/>
  <c r="E32" i="170"/>
  <c r="F36" i="171"/>
  <c r="E38" i="168"/>
  <c r="E44" i="168" s="1"/>
  <c r="G33" i="168"/>
  <c r="U29" i="168" s="1"/>
  <c r="H30" i="171"/>
  <c r="H32" i="171" s="1"/>
  <c r="F32" i="171"/>
  <c r="N31" i="186"/>
  <c r="N93" i="186"/>
  <c r="N119" i="186"/>
  <c r="N47" i="186"/>
  <c r="N72" i="186"/>
  <c r="N65" i="186"/>
  <c r="N116" i="186"/>
  <c r="N48" i="186"/>
  <c r="N51" i="186"/>
  <c r="N97" i="186"/>
  <c r="N102" i="186"/>
  <c r="N115" i="186"/>
  <c r="N110" i="186"/>
  <c r="N95" i="186"/>
  <c r="N58" i="186"/>
  <c r="N70" i="186"/>
  <c r="N122" i="186"/>
  <c r="T93" i="186" s="1"/>
  <c r="N69" i="186"/>
  <c r="N118" i="186"/>
  <c r="N55" i="186"/>
  <c r="N117" i="186"/>
  <c r="N96" i="186"/>
  <c r="N45" i="186"/>
  <c r="N84" i="186"/>
  <c r="N54" i="186"/>
  <c r="M66" i="182"/>
  <c r="M31" i="182"/>
  <c r="M51" i="182"/>
  <c r="M62" i="182"/>
  <c r="M96" i="182"/>
  <c r="M55" i="182"/>
  <c r="M111" i="182"/>
  <c r="M104" i="182"/>
  <c r="M91" i="182"/>
  <c r="M113" i="182"/>
  <c r="M112" i="182"/>
  <c r="M48" i="182"/>
  <c r="M45" i="182"/>
  <c r="M110" i="182"/>
  <c r="M69" i="182"/>
  <c r="M109" i="182"/>
  <c r="M67" i="182"/>
  <c r="M81" i="182"/>
  <c r="M116" i="182"/>
  <c r="R90" i="182" s="1"/>
  <c r="M90" i="182"/>
  <c r="M52" i="182"/>
  <c r="E36" i="170"/>
  <c r="G34" i="170" s="1"/>
  <c r="H34" i="170" s="1"/>
  <c r="M67" i="183"/>
  <c r="M55" i="183"/>
  <c r="M113" i="183"/>
  <c r="M116" i="183"/>
  <c r="R90" i="183" s="1"/>
  <c r="M96" i="183"/>
  <c r="M90" i="183"/>
  <c r="M66" i="183"/>
  <c r="M45" i="183"/>
  <c r="M31" i="183"/>
  <c r="M48" i="183"/>
  <c r="M104" i="183"/>
  <c r="M112" i="183"/>
  <c r="M51" i="183"/>
  <c r="M81" i="183"/>
  <c r="M52" i="183"/>
  <c r="M69" i="183"/>
  <c r="M91" i="183"/>
  <c r="M109" i="183"/>
  <c r="M62" i="183"/>
  <c r="M111" i="183"/>
  <c r="M110" i="183"/>
  <c r="E45" i="165"/>
  <c r="O47" i="176"/>
  <c r="M50" i="176"/>
  <c r="O50" i="176" s="1"/>
  <c r="F32" i="180"/>
  <c r="F37" i="180" s="1"/>
  <c r="H30" i="180"/>
  <c r="H32" i="180" s="1"/>
  <c r="H37" i="180" s="1"/>
  <c r="E45" i="178"/>
  <c r="E30" i="178"/>
  <c r="E34" i="178"/>
  <c r="E35" i="178" s="1"/>
  <c r="E40" i="178"/>
  <c r="E41" i="178" s="1"/>
  <c r="E31" i="178"/>
  <c r="E44" i="178"/>
  <c r="F38" i="161"/>
  <c r="H30" i="178"/>
  <c r="H32" i="178" s="1"/>
  <c r="F32" i="178"/>
  <c r="N48" i="187"/>
  <c r="N45" i="187"/>
  <c r="N95" i="187"/>
  <c r="N119" i="187"/>
  <c r="N58" i="187"/>
  <c r="N51" i="187"/>
  <c r="N117" i="187"/>
  <c r="N115" i="187"/>
  <c r="N72" i="187"/>
  <c r="N118" i="187"/>
  <c r="N65" i="187"/>
  <c r="N97" i="187"/>
  <c r="N122" i="187"/>
  <c r="T93" i="187" s="1"/>
  <c r="N54" i="187"/>
  <c r="N31" i="187"/>
  <c r="N116" i="187"/>
  <c r="N102" i="187"/>
  <c r="N70" i="187"/>
  <c r="N47" i="187"/>
  <c r="N96" i="187"/>
  <c r="N55" i="187"/>
  <c r="N69" i="187"/>
  <c r="N84" i="187"/>
  <c r="N93" i="187"/>
  <c r="N110" i="187"/>
  <c r="E36" i="161"/>
  <c r="E30" i="171"/>
  <c r="E33" i="171"/>
  <c r="E41" i="171"/>
  <c r="E42" i="171" s="1"/>
  <c r="E34" i="171"/>
  <c r="E31" i="171"/>
  <c r="H33" i="168"/>
  <c r="H36" i="168" s="1"/>
  <c r="H38" i="168" s="1"/>
  <c r="F35" i="178"/>
  <c r="H34" i="178"/>
  <c r="H35" i="178" s="1"/>
  <c r="N45" i="189"/>
  <c r="N51" i="189"/>
  <c r="N95" i="189"/>
  <c r="N119" i="189"/>
  <c r="N84" i="189"/>
  <c r="N117" i="189"/>
  <c r="N48" i="189"/>
  <c r="N93" i="189"/>
  <c r="N65" i="189"/>
  <c r="N70" i="189"/>
  <c r="N97" i="189"/>
  <c r="N47" i="189"/>
  <c r="N96" i="189"/>
  <c r="N54" i="189"/>
  <c r="N116" i="189"/>
  <c r="N115" i="189"/>
  <c r="N122" i="189"/>
  <c r="T93" i="189" s="1"/>
  <c r="N102" i="189"/>
  <c r="N58" i="189"/>
  <c r="N69" i="189"/>
  <c r="N31" i="189"/>
  <c r="N72" i="189"/>
  <c r="N55" i="189"/>
  <c r="N118" i="189"/>
  <c r="N110" i="189"/>
  <c r="E32" i="161"/>
  <c r="R89" i="167"/>
  <c r="R91" i="167" s="1"/>
  <c r="F38" i="171" l="1"/>
  <c r="E32" i="178"/>
  <c r="E38" i="170"/>
  <c r="E44" i="170" s="1"/>
  <c r="G33" i="170"/>
  <c r="H33" i="170" s="1"/>
  <c r="H36" i="170" s="1"/>
  <c r="H38" i="170" s="1"/>
  <c r="T92" i="189"/>
  <c r="E36" i="171"/>
  <c r="G33" i="171" s="1"/>
  <c r="H33" i="171" s="1"/>
  <c r="E32" i="171"/>
  <c r="U29" i="170"/>
  <c r="M117" i="182"/>
  <c r="R92" i="182" s="1"/>
  <c r="E38" i="161"/>
  <c r="E44" i="161" s="1"/>
  <c r="G33" i="161"/>
  <c r="G34" i="161"/>
  <c r="H34" i="161" s="1"/>
  <c r="R89" i="183"/>
  <c r="N123" i="189"/>
  <c r="T95" i="189" s="1"/>
  <c r="T91" i="189"/>
  <c r="T94" i="189" s="1"/>
  <c r="R88" i="182"/>
  <c r="U33" i="168"/>
  <c r="T29" i="168"/>
  <c r="F37" i="178"/>
  <c r="E37" i="178"/>
  <c r="E43" i="178" s="1"/>
  <c r="N123" i="187"/>
  <c r="T95" i="187" s="1"/>
  <c r="T91" i="187"/>
  <c r="N123" i="186"/>
  <c r="T95" i="186" s="1"/>
  <c r="T91" i="186"/>
  <c r="T92" i="187"/>
  <c r="M117" i="183"/>
  <c r="R92" i="183" s="1"/>
  <c r="R88" i="183"/>
  <c r="T92" i="186"/>
  <c r="R89" i="182"/>
  <c r="H37" i="178"/>
  <c r="N45" i="148"/>
  <c r="G95" i="186"/>
  <c r="O45" i="148"/>
  <c r="R91" i="183" l="1"/>
  <c r="T97" i="189"/>
  <c r="E38" i="171"/>
  <c r="E44" i="171" s="1"/>
  <c r="G34" i="171"/>
  <c r="H34" i="171" s="1"/>
  <c r="H36" i="171" s="1"/>
  <c r="H38" i="171" s="1"/>
  <c r="T94" i="186"/>
  <c r="T97" i="186" s="1"/>
  <c r="U29" i="161"/>
  <c r="H33" i="161"/>
  <c r="H36" i="161" s="1"/>
  <c r="H38" i="161" s="1"/>
  <c r="R93" i="183"/>
  <c r="R91" i="182"/>
  <c r="R93" i="182" s="1"/>
  <c r="T94" i="187"/>
  <c r="T97" i="187" s="1"/>
  <c r="T29" i="170"/>
  <c r="U33" i="170"/>
  <c r="P45" i="148"/>
  <c r="G94" i="187"/>
  <c r="G95" i="187" s="1"/>
  <c r="G46" i="187"/>
  <c r="G46" i="189"/>
  <c r="G47" i="189" s="1"/>
  <c r="U29" i="171" l="1"/>
  <c r="T29" i="171" s="1"/>
  <c r="O36" i="108"/>
  <c r="P36" i="108"/>
  <c r="T29" i="161"/>
  <c r="U33" i="161"/>
  <c r="O31" i="108"/>
  <c r="O39" i="108" s="1"/>
  <c r="P31" i="108"/>
  <c r="P39" i="108" s="1"/>
  <c r="O44" i="148"/>
  <c r="G47" i="187"/>
  <c r="G46" i="186"/>
  <c r="G47" i="186" s="1"/>
  <c r="O25" i="119"/>
  <c r="O46" i="148" s="1"/>
  <c r="O22" i="108"/>
  <c r="P44" i="148"/>
  <c r="P25" i="119"/>
  <c r="P46" i="148" s="1"/>
  <c r="N25" i="119"/>
  <c r="N46" i="148" s="1"/>
  <c r="N44" i="148"/>
  <c r="P22" i="108"/>
  <c r="U33" i="171" l="1"/>
  <c r="N22" i="108"/>
  <c r="N25" i="108" s="1"/>
  <c r="N38" i="108" s="1"/>
  <c r="O25" i="108"/>
  <c r="O38" i="108" s="1"/>
  <c r="O40" i="108" s="1"/>
  <c r="O41" i="108" s="1"/>
  <c r="N36" i="108"/>
  <c r="N31" i="108"/>
  <c r="N39" i="108" s="1"/>
  <c r="P25" i="108"/>
  <c r="P38" i="108" s="1"/>
  <c r="P40" i="108" s="1"/>
  <c r="P41" i="108" s="1"/>
  <c r="N40" i="108" l="1"/>
  <c r="N41" i="108" s="1"/>
  <c r="G38" i="189"/>
  <c r="G36" i="189" l="1"/>
  <c r="N13" i="148"/>
  <c r="G86" i="189"/>
  <c r="P13" i="149"/>
  <c r="Q13" i="149"/>
  <c r="O11" i="149" l="1"/>
  <c r="N18" i="148"/>
  <c r="Q18" i="149"/>
  <c r="G33" i="189"/>
  <c r="G34" i="189"/>
  <c r="G57" i="189" s="1"/>
  <c r="P18" i="149"/>
  <c r="P13" i="148"/>
  <c r="G38" i="187"/>
  <c r="G38" i="183"/>
  <c r="O18" i="149"/>
  <c r="Q9" i="149"/>
  <c r="N11" i="148"/>
  <c r="O13" i="149"/>
  <c r="G86" i="186"/>
  <c r="G83" i="182"/>
  <c r="O18" i="148"/>
  <c r="Q11" i="149"/>
  <c r="P9" i="149"/>
  <c r="G38" i="186"/>
  <c r="G36" i="186"/>
  <c r="O11" i="148"/>
  <c r="G36" i="182"/>
  <c r="P11" i="149"/>
  <c r="G36" i="183"/>
  <c r="G36" i="187"/>
  <c r="P11" i="148"/>
  <c r="E38" i="189"/>
  <c r="G77" i="189" l="1"/>
  <c r="P8" i="149"/>
  <c r="E36" i="189"/>
  <c r="E33" i="189"/>
  <c r="G38" i="182"/>
  <c r="O13" i="148"/>
  <c r="O8" i="149"/>
  <c r="N13" i="150"/>
  <c r="G33" i="182"/>
  <c r="G33" i="186"/>
  <c r="O8" i="148"/>
  <c r="N9" i="148"/>
  <c r="N8" i="148"/>
  <c r="E86" i="189"/>
  <c r="O9" i="149"/>
  <c r="G34" i="183"/>
  <c r="G54" i="183" s="1"/>
  <c r="G34" i="187"/>
  <c r="G57" i="187" s="1"/>
  <c r="P9" i="148"/>
  <c r="G34" i="182"/>
  <c r="G54" i="182" s="1"/>
  <c r="O9" i="148"/>
  <c r="G34" i="186"/>
  <c r="G57" i="186" s="1"/>
  <c r="P18" i="148"/>
  <c r="G83" i="183"/>
  <c r="G86" i="187"/>
  <c r="G76" i="189" l="1"/>
  <c r="G77" i="186"/>
  <c r="E34" i="186"/>
  <c r="G56" i="186" s="1"/>
  <c r="E34" i="182"/>
  <c r="O9" i="150"/>
  <c r="E34" i="187"/>
  <c r="G56" i="187" s="1"/>
  <c r="P9" i="150"/>
  <c r="E34" i="183"/>
  <c r="E36" i="183"/>
  <c r="E36" i="187"/>
  <c r="P11" i="150"/>
  <c r="G74" i="182"/>
  <c r="N8" i="150"/>
  <c r="N18" i="150"/>
  <c r="E34" i="189"/>
  <c r="G56" i="189" s="1"/>
  <c r="E38" i="186"/>
  <c r="O13" i="150"/>
  <c r="E38" i="182"/>
  <c r="O8" i="150"/>
  <c r="E33" i="182"/>
  <c r="E33" i="186"/>
  <c r="E38" i="183"/>
  <c r="P13" i="150"/>
  <c r="E38" i="187"/>
  <c r="O18" i="150"/>
  <c r="E86" i="186"/>
  <c r="E86" i="187"/>
  <c r="P18" i="150"/>
  <c r="E83" i="183"/>
  <c r="N11" i="150"/>
  <c r="E36" i="186"/>
  <c r="E36" i="182"/>
  <c r="O11" i="150"/>
  <c r="N9" i="150" l="1"/>
  <c r="G76" i="186"/>
  <c r="G73" i="182"/>
  <c r="G53" i="183"/>
  <c r="G53" i="182"/>
  <c r="G33" i="183" l="1"/>
  <c r="P8" i="148"/>
  <c r="G33" i="187"/>
  <c r="G77" i="187" l="1"/>
  <c r="G74" i="183"/>
  <c r="E33" i="183" l="1"/>
  <c r="P8" i="150"/>
  <c r="E33" i="187"/>
  <c r="Q8" i="149"/>
  <c r="G76" i="187" l="1"/>
  <c r="G73" i="183"/>
  <c r="Q16" i="149" l="1"/>
  <c r="P16" i="148"/>
  <c r="G84" i="187"/>
  <c r="G81" i="183"/>
  <c r="G84" i="189" l="1"/>
  <c r="O16" i="149"/>
  <c r="E84" i="189"/>
  <c r="G81" i="182"/>
  <c r="G84" i="186"/>
  <c r="O16" i="148"/>
  <c r="N16" i="148"/>
  <c r="P16" i="149"/>
  <c r="E84" i="186" l="1"/>
  <c r="E81" i="182"/>
  <c r="O16" i="150"/>
  <c r="N16" i="150"/>
  <c r="E81" i="183"/>
  <c r="E84" i="187"/>
  <c r="P16" i="150"/>
  <c r="E85" i="182" l="1"/>
  <c r="Q12" i="149" l="1"/>
  <c r="P12" i="148"/>
  <c r="G37" i="183"/>
  <c r="G61" i="183" s="1"/>
  <c r="G37" i="187"/>
  <c r="G64" i="187" s="1"/>
  <c r="P12" i="149"/>
  <c r="G37" i="189"/>
  <c r="G64" i="189" s="1"/>
  <c r="O12" i="148"/>
  <c r="G37" i="182"/>
  <c r="G61" i="182" s="1"/>
  <c r="G37" i="186"/>
  <c r="G64" i="186" s="1"/>
  <c r="O12" i="149" l="1"/>
  <c r="E37" i="189"/>
  <c r="G63" i="189" s="1"/>
  <c r="N12" i="148"/>
  <c r="N12" i="150" l="1"/>
  <c r="O12" i="150"/>
  <c r="E37" i="186"/>
  <c r="G63" i="186" s="1"/>
  <c r="E37" i="182"/>
  <c r="P12" i="150"/>
  <c r="E37" i="187"/>
  <c r="G63" i="187" s="1"/>
  <c r="E37" i="183"/>
  <c r="G60" i="182" l="1"/>
  <c r="G60" i="183"/>
  <c r="G87" i="189" l="1"/>
  <c r="G109" i="189" s="1"/>
  <c r="P19" i="149" l="1"/>
  <c r="O19" i="149"/>
  <c r="G84" i="183"/>
  <c r="G103" i="183" s="1"/>
  <c r="G87" i="187"/>
  <c r="G109" i="187" s="1"/>
  <c r="P19" i="148"/>
  <c r="G84" i="182"/>
  <c r="G103" i="182" s="1"/>
  <c r="G87" i="186"/>
  <c r="G109" i="186" s="1"/>
  <c r="O19" i="148"/>
  <c r="N19" i="148"/>
  <c r="Q19" i="149"/>
  <c r="E87" i="189" l="1"/>
  <c r="G108" i="189" s="1"/>
  <c r="N19" i="150" l="1"/>
  <c r="O19" i="150"/>
  <c r="E87" i="186"/>
  <c r="G108" i="186" s="1"/>
  <c r="P19" i="150"/>
  <c r="E87" i="187"/>
  <c r="G108" i="187" s="1"/>
  <c r="E84" i="183"/>
  <c r="G102" i="183" l="1"/>
  <c r="G35" i="189" l="1"/>
  <c r="G50" i="189" l="1"/>
  <c r="G40" i="189"/>
  <c r="G42" i="189" s="1"/>
  <c r="N10" i="148"/>
  <c r="N14" i="119"/>
  <c r="E35" i="189"/>
  <c r="O10" i="149"/>
  <c r="N15" i="88"/>
  <c r="H15" i="184"/>
  <c r="H22" i="184" s="1"/>
  <c r="G49" i="189" l="1"/>
  <c r="E40" i="189"/>
  <c r="E42" i="189" s="1"/>
  <c r="N10" i="150"/>
  <c r="N14" i="120"/>
  <c r="N27" i="119"/>
  <c r="N14" i="148"/>
  <c r="H15" i="185"/>
  <c r="H22" i="185" s="1"/>
  <c r="G35" i="187"/>
  <c r="G35" i="183"/>
  <c r="P10" i="148"/>
  <c r="P14" i="119"/>
  <c r="N22" i="88"/>
  <c r="O14" i="149"/>
  <c r="J40" i="187"/>
  <c r="I40" i="187"/>
  <c r="J42" i="187" l="1"/>
  <c r="G47" i="183"/>
  <c r="G40" i="183"/>
  <c r="P14" i="148"/>
  <c r="P27" i="119"/>
  <c r="G50" i="187"/>
  <c r="G40" i="187"/>
  <c r="N21" i="120"/>
  <c r="N14" i="150"/>
  <c r="O22" i="149"/>
  <c r="I42" i="187"/>
  <c r="N59" i="150" l="1"/>
  <c r="J15" i="184" l="1"/>
  <c r="J22" i="184" s="1"/>
  <c r="Q10" i="149"/>
  <c r="P15" i="88"/>
  <c r="J15" i="185"/>
  <c r="J22" i="185" s="1"/>
  <c r="G42" i="187" l="1"/>
  <c r="G42" i="183"/>
  <c r="E35" i="187"/>
  <c r="E35" i="183"/>
  <c r="P10" i="150"/>
  <c r="P14" i="120"/>
  <c r="P22" i="88"/>
  <c r="Q14" i="149"/>
  <c r="Q22" i="149" l="1"/>
  <c r="P14" i="150"/>
  <c r="P21" i="120"/>
  <c r="G46" i="183"/>
  <c r="E40" i="183"/>
  <c r="G49" i="187"/>
  <c r="E40" i="187"/>
  <c r="K35" i="183" l="1"/>
  <c r="H45" i="183" s="1"/>
  <c r="K45" i="183" s="1"/>
  <c r="L35" i="187"/>
  <c r="H45" i="187" s="1"/>
  <c r="L45" i="187" s="1"/>
  <c r="P59" i="150"/>
  <c r="E42" i="187" l="1"/>
  <c r="E42" i="183"/>
  <c r="I36" i="183" l="1"/>
  <c r="I38" i="183"/>
  <c r="I34" i="183"/>
  <c r="I33" i="183"/>
  <c r="I37" i="183"/>
  <c r="I35" i="183"/>
  <c r="J40" i="186" l="1"/>
  <c r="J42" i="186" s="1"/>
  <c r="I40" i="186"/>
  <c r="I42" i="186" s="1"/>
  <c r="G35" i="186" l="1"/>
  <c r="G35" i="182"/>
  <c r="O10" i="148"/>
  <c r="O14" i="119"/>
  <c r="I15" i="184"/>
  <c r="I22" i="184" s="1"/>
  <c r="O27" i="119" l="1"/>
  <c r="O14" i="148"/>
  <c r="G47" i="182"/>
  <c r="G40" i="182"/>
  <c r="G50" i="186"/>
  <c r="G40" i="186"/>
  <c r="P10" i="149"/>
  <c r="O15" i="88"/>
  <c r="E35" i="186" l="1"/>
  <c r="E35" i="182"/>
  <c r="O10" i="150"/>
  <c r="O14" i="120"/>
  <c r="P14" i="149"/>
  <c r="O22" i="88"/>
  <c r="G42" i="186"/>
  <c r="G42" i="182"/>
  <c r="I15" i="185"/>
  <c r="I22" i="185" s="1"/>
  <c r="P22" i="149" l="1"/>
  <c r="O14" i="150"/>
  <c r="O21" i="120"/>
  <c r="G46" i="182"/>
  <c r="E40" i="182"/>
  <c r="G49" i="186"/>
  <c r="E40" i="186"/>
  <c r="O59" i="150" l="1"/>
  <c r="K35" i="182"/>
  <c r="H45" i="182" s="1"/>
  <c r="K45" i="182" s="1"/>
  <c r="L35" i="186"/>
  <c r="H45" i="186" s="1"/>
  <c r="L45" i="186" s="1"/>
  <c r="E42" i="186" l="1"/>
  <c r="E42" i="182"/>
  <c r="I33" i="182" l="1"/>
  <c r="I36" i="182"/>
  <c r="I34" i="182"/>
  <c r="I38" i="182"/>
  <c r="I37" i="182"/>
  <c r="I35" i="182"/>
  <c r="J88" i="186" l="1"/>
  <c r="J88" i="187"/>
  <c r="J90" i="186" l="1"/>
  <c r="J90" i="187"/>
  <c r="I88" i="186" l="1"/>
  <c r="I88" i="187"/>
  <c r="I90" i="187" l="1"/>
  <c r="H21" i="184" l="1"/>
  <c r="H23" i="184" s="1"/>
  <c r="H24" i="184" s="1"/>
  <c r="G85" i="189" l="1"/>
  <c r="G88" i="189" s="1"/>
  <c r="G90" i="189" s="1"/>
  <c r="N20" i="119"/>
  <c r="P17" i="149"/>
  <c r="O21" i="88"/>
  <c r="J21" i="184"/>
  <c r="J23" i="184" s="1"/>
  <c r="J24" i="184" s="1"/>
  <c r="O20" i="119"/>
  <c r="G82" i="182"/>
  <c r="G85" i="182" s="1"/>
  <c r="O17" i="148"/>
  <c r="G85" i="186"/>
  <c r="G88" i="186" s="1"/>
  <c r="Q17" i="149"/>
  <c r="P21" i="88"/>
  <c r="O17" i="149"/>
  <c r="N21" i="88"/>
  <c r="I21" i="184"/>
  <c r="I23" i="184" s="1"/>
  <c r="I24" i="184" s="1"/>
  <c r="N17" i="148"/>
  <c r="G85" i="187"/>
  <c r="G88" i="187" s="1"/>
  <c r="P17" i="148"/>
  <c r="G82" i="183"/>
  <c r="G85" i="183" s="1"/>
  <c r="P20" i="119"/>
  <c r="E85" i="189"/>
  <c r="E88" i="189" s="1"/>
  <c r="E90" i="189" s="1"/>
  <c r="H21" i="185"/>
  <c r="H23" i="185" s="1"/>
  <c r="H24" i="185" s="1"/>
  <c r="N23" i="88" l="1"/>
  <c r="O20" i="149"/>
  <c r="O20" i="148"/>
  <c r="O28" i="119"/>
  <c r="O29" i="119" s="1"/>
  <c r="Q20" i="149"/>
  <c r="P23" i="88"/>
  <c r="J21" i="185"/>
  <c r="J23" i="185" s="1"/>
  <c r="J24" i="185" s="1"/>
  <c r="N20" i="148"/>
  <c r="N28" i="119"/>
  <c r="N29" i="119" s="1"/>
  <c r="E85" i="187"/>
  <c r="E88" i="187" s="1"/>
  <c r="E82" i="183"/>
  <c r="P17" i="150"/>
  <c r="P20" i="120"/>
  <c r="I21" i="185"/>
  <c r="I23" i="185" s="1"/>
  <c r="I24" i="185" s="1"/>
  <c r="N17" i="150"/>
  <c r="N20" i="120"/>
  <c r="O17" i="150"/>
  <c r="E85" i="186"/>
  <c r="E88" i="186" s="1"/>
  <c r="O20" i="120"/>
  <c r="O23" i="88"/>
  <c r="P20" i="149"/>
  <c r="P20" i="148"/>
  <c r="P28" i="119"/>
  <c r="P29" i="119" s="1"/>
  <c r="G87" i="182" l="1"/>
  <c r="G90" i="186"/>
  <c r="E85" i="183"/>
  <c r="N20" i="150"/>
  <c r="N22" i="120"/>
  <c r="O30" i="119"/>
  <c r="O48" i="148" s="1"/>
  <c r="O47" i="148"/>
  <c r="N30" i="119"/>
  <c r="N48" i="148" s="1"/>
  <c r="N47" i="148"/>
  <c r="P23" i="149"/>
  <c r="O24" i="88"/>
  <c r="G90" i="187"/>
  <c r="O20" i="150"/>
  <c r="O22" i="120"/>
  <c r="O23" i="149"/>
  <c r="N24" i="88"/>
  <c r="P47" i="148"/>
  <c r="P30" i="119"/>
  <c r="P48" i="148" s="1"/>
  <c r="P22" i="120"/>
  <c r="P20" i="150"/>
  <c r="Q23" i="149"/>
  <c r="P24" i="88"/>
  <c r="P60" i="150" l="1"/>
  <c r="P23" i="120"/>
  <c r="G87" i="183"/>
  <c r="P25" i="149"/>
  <c r="P24" i="149"/>
  <c r="N60" i="150"/>
  <c r="N23" i="120"/>
  <c r="O25" i="149"/>
  <c r="O24" i="149"/>
  <c r="Q25" i="149"/>
  <c r="Q24" i="149"/>
  <c r="O60" i="150"/>
  <c r="O23" i="120"/>
  <c r="K83" i="183"/>
  <c r="I90" i="183" s="1"/>
  <c r="K90" i="183" s="1"/>
  <c r="O63" i="150" l="1"/>
  <c r="O62" i="150"/>
  <c r="N63" i="150"/>
  <c r="N62" i="150"/>
  <c r="K83" i="182"/>
  <c r="I90" i="182" s="1"/>
  <c r="K90" i="182" s="1"/>
  <c r="E87" i="182"/>
  <c r="I81" i="183"/>
  <c r="E90" i="186"/>
  <c r="E87" i="183"/>
  <c r="P63" i="150"/>
  <c r="P62" i="150"/>
  <c r="L86" i="187"/>
  <c r="I93" i="187" s="1"/>
  <c r="L93" i="187" s="1"/>
  <c r="E90" i="187"/>
  <c r="I84" i="182" l="1"/>
  <c r="I83" i="182"/>
  <c r="I82" i="182"/>
  <c r="I81" i="182"/>
  <c r="I83" i="183"/>
  <c r="I84" i="183"/>
  <c r="I82" i="183"/>
  <c r="L48" i="172" l="1"/>
  <c r="L50" i="172" s="1"/>
  <c r="C43" i="173" s="1"/>
  <c r="K32" i="172"/>
  <c r="K48" i="172" s="1"/>
  <c r="K50" i="172" s="1"/>
  <c r="C42" i="173" s="1"/>
  <c r="L34" i="172"/>
  <c r="M32" i="172" l="1"/>
  <c r="M48" i="172" s="1"/>
  <c r="M50" i="172" s="1"/>
  <c r="O50" i="172" s="1"/>
  <c r="C45" i="173"/>
  <c r="E42" i="173" s="1"/>
  <c r="O32" i="172"/>
  <c r="K34" i="172"/>
  <c r="M34" i="172" s="1"/>
  <c r="O34" i="172" s="1"/>
  <c r="E43" i="173" l="1"/>
  <c r="O48" i="172"/>
  <c r="E41" i="173"/>
  <c r="E40" i="173"/>
  <c r="E39" i="173"/>
  <c r="E36" i="173"/>
  <c r="E37" i="173"/>
  <c r="E38" i="173"/>
  <c r="E45" i="173" l="1"/>
  <c r="R49" i="62" l="1"/>
  <c r="S49" i="62"/>
  <c r="S54" i="62" s="1"/>
  <c r="S56" i="62" s="1"/>
  <c r="S55" i="62" s="1"/>
  <c r="V49" i="62"/>
  <c r="W49" i="62"/>
  <c r="W54" i="62" s="1"/>
  <c r="W56" i="62" s="1"/>
  <c r="W55" i="62" s="1"/>
  <c r="AA49" i="62"/>
  <c r="AA54" i="62" s="1"/>
  <c r="AA56" i="62" s="1"/>
  <c r="AA55" i="62" s="1"/>
  <c r="R50" i="62"/>
  <c r="V50" i="62"/>
  <c r="Z50" i="62"/>
  <c r="R54" i="62"/>
  <c r="V54" i="62"/>
  <c r="V56" i="62" s="1"/>
  <c r="Z54" i="62"/>
  <c r="Z56" i="62" s="1"/>
  <c r="Z55" i="62" s="1"/>
  <c r="R56" i="62"/>
  <c r="R55" i="62" s="1"/>
  <c r="D40" i="179"/>
  <c r="D41" i="179" s="1"/>
  <c r="D43" i="179" s="1"/>
  <c r="E34" i="179" s="1"/>
  <c r="E35" i="179" s="1"/>
  <c r="D40" i="180"/>
  <c r="D41" i="180"/>
  <c r="D43" i="180" s="1"/>
  <c r="W50" i="62" l="1"/>
  <c r="D45" i="180"/>
  <c r="E45" i="180" s="1"/>
  <c r="V55" i="62"/>
  <c r="E44" i="180"/>
  <c r="E40" i="180"/>
  <c r="E41" i="180" s="1"/>
  <c r="E30" i="180"/>
  <c r="E34" i="180"/>
  <c r="E35" i="180" s="1"/>
  <c r="E31" i="180"/>
  <c r="E31" i="179"/>
  <c r="S50" i="62"/>
  <c r="E30" i="179"/>
  <c r="E40" i="179"/>
  <c r="E41" i="179" s="1"/>
  <c r="D45" i="179"/>
  <c r="E45" i="179" s="1"/>
  <c r="AA50" i="62"/>
  <c r="E44" i="179"/>
  <c r="E32" i="180" l="1"/>
  <c r="E37" i="180" s="1"/>
  <c r="E43" i="180" s="1"/>
  <c r="E32" i="179"/>
  <c r="E37" i="179" s="1"/>
  <c r="E43" i="179" s="1"/>
  <c r="G49" i="174" l="1"/>
  <c r="G50" i="174" s="1"/>
  <c r="C38" i="175" s="1"/>
  <c r="H36" i="174"/>
  <c r="M36" i="174" s="1"/>
  <c r="G45" i="174"/>
  <c r="M45" i="174" l="1"/>
  <c r="O45" i="174" s="1"/>
  <c r="O36" i="174"/>
  <c r="M49" i="174"/>
  <c r="H49" i="174"/>
  <c r="H50" i="174" s="1"/>
  <c r="C39" i="175" s="1"/>
  <c r="H45" i="174"/>
  <c r="C45" i="175" l="1"/>
  <c r="O49" i="174"/>
  <c r="M50" i="174"/>
  <c r="O50" i="174" s="1"/>
  <c r="E40" i="175" l="1"/>
  <c r="E42" i="175"/>
  <c r="E43" i="175"/>
  <c r="E37" i="175"/>
  <c r="E41" i="175"/>
  <c r="E36" i="175"/>
  <c r="E38" i="175"/>
  <c r="E39" i="175"/>
  <c r="E45" i="175" l="1"/>
  <c r="I91" i="186" l="1"/>
  <c r="I90" i="186" l="1"/>
  <c r="L86" i="186"/>
  <c r="I93" i="186" s="1"/>
  <c r="L93" i="1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D30" authorId="0" shapeId="0" xr:uid="{00000000-0006-0000-1300-000001000000}">
      <text>
        <r>
          <rPr>
            <b/>
            <sz val="9"/>
            <color indexed="81"/>
            <rFont val="Tahoma"/>
            <family val="2"/>
          </rPr>
          <t>Education section  RNC
 RES Behavior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D30" authorId="0" shapeId="0" xr:uid="{64E08477-5B81-487D-8CB3-325E670D8D39}">
      <text>
        <r>
          <rPr>
            <b/>
            <sz val="9"/>
            <color indexed="81"/>
            <rFont val="Tahoma"/>
            <family val="2"/>
          </rPr>
          <t>Education section  RNC
 RES Behavior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D30" authorId="0" shapeId="0" xr:uid="{76575E88-6919-45DC-A74F-58FA8305BA52}">
      <text>
        <r>
          <rPr>
            <b/>
            <sz val="9"/>
            <color indexed="81"/>
            <rFont val="Tahoma"/>
            <family val="2"/>
          </rPr>
          <t>Education section  RNC
 RES Behavior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D30" authorId="0" shapeId="0" xr:uid="{07D44B6B-0194-412D-A3F9-D42FC5467447}">
      <text>
        <r>
          <rPr>
            <b/>
            <sz val="9"/>
            <color indexed="81"/>
            <rFont val="Tahoma"/>
            <family val="2"/>
          </rPr>
          <t>Education section  RNC
 RES Behavior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B25" authorId="0" shapeId="0" xr:uid="{00000000-0006-0000-1900-000001000000}">
      <text>
        <r>
          <rPr>
            <b/>
            <sz val="9"/>
            <color indexed="81"/>
            <rFont val="Tahoma"/>
            <family val="2"/>
          </rPr>
          <t>Anna Krawczyk:</t>
        </r>
        <r>
          <rPr>
            <sz val="9"/>
            <color indexed="81"/>
            <rFont val="Tahoma"/>
            <family val="2"/>
          </rPr>
          <t xml:space="preserve">
Educate the Public and Educate the Workforce 50/50 for 2016-2018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D30" authorId="0" shapeId="0" xr:uid="{922D8411-016C-4461-814D-370B82A0EDB9}">
      <text>
        <r>
          <rPr>
            <b/>
            <sz val="9"/>
            <color indexed="81"/>
            <rFont val="Tahoma"/>
            <family val="2"/>
          </rPr>
          <t>Education section  RNC
 RES Behavior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B25" authorId="0" shapeId="0" xr:uid="{F4707B28-5F51-4A37-A2C6-241E9AB7E635}">
      <text>
        <r>
          <rPr>
            <b/>
            <sz val="9"/>
            <color indexed="81"/>
            <rFont val="Tahoma"/>
            <family val="2"/>
          </rPr>
          <t>Anna Krawczyk:</t>
        </r>
        <r>
          <rPr>
            <sz val="9"/>
            <color indexed="81"/>
            <rFont val="Tahoma"/>
            <family val="2"/>
          </rPr>
          <t xml:space="preserve">
Educate the Public and Educate the Workforce 50/50 for 2016-2018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B25" authorId="0" shapeId="0" xr:uid="{FCA24E23-A815-49CA-B2C3-555CC3D7B061}">
      <text>
        <r>
          <rPr>
            <b/>
            <sz val="9"/>
            <color indexed="81"/>
            <rFont val="Tahoma"/>
            <family val="2"/>
          </rPr>
          <t>Anna Krawczyk:</t>
        </r>
        <r>
          <rPr>
            <sz val="9"/>
            <color indexed="81"/>
            <rFont val="Tahoma"/>
            <family val="2"/>
          </rPr>
          <t xml:space="preserve">
Educate the Public and Educate the Workforce 50/50 for 2016-2018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B25" authorId="0" shapeId="0" xr:uid="{66D7F00A-091D-4127-8AAF-C68CC371BEB1}">
      <text>
        <r>
          <rPr>
            <b/>
            <sz val="9"/>
            <color indexed="81"/>
            <rFont val="Tahoma"/>
            <family val="2"/>
          </rPr>
          <t>Anna Krawczyk:</t>
        </r>
        <r>
          <rPr>
            <sz val="9"/>
            <color indexed="81"/>
            <rFont val="Tahoma"/>
            <family val="2"/>
          </rPr>
          <t xml:space="preserve">
Educate the Public and Educate the Workforce 50/50 for 2016-2018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Anna Krawczyk</author>
  </authors>
  <commentList>
    <comment ref="A28" authorId="0" shapeId="0" xr:uid="{00000000-0006-0000-1E00-000002000000}">
      <text>
        <r>
          <rPr>
            <b/>
            <sz val="9"/>
            <color indexed="81"/>
            <rFont val="Tahoma"/>
            <family val="2"/>
          </rPr>
          <t>Anna Krawczyk:</t>
        </r>
        <r>
          <rPr>
            <sz val="9"/>
            <color indexed="81"/>
            <rFont val="Tahoma"/>
            <family val="2"/>
          </rPr>
          <t xml:space="preserve">
50%R and 50%C for 2016-2018</t>
        </r>
      </text>
    </comment>
    <comment ref="A29" authorId="0" shapeId="0" xr:uid="{00000000-0006-0000-1E00-000001000000}">
      <text>
        <r>
          <rPr>
            <b/>
            <sz val="9"/>
            <color indexed="81"/>
            <rFont val="Tahoma"/>
            <family val="2"/>
          </rPr>
          <t>Anna Krawczyk:</t>
        </r>
        <r>
          <rPr>
            <sz val="9"/>
            <color indexed="81"/>
            <rFont val="Tahoma"/>
            <family val="2"/>
          </rPr>
          <t xml:space="preserve">
50%R and 50%C for 2016-2018
</t>
        </r>
      </text>
    </comment>
    <comment ref="A34" authorId="0" shapeId="0" xr:uid="{7E67B9A9-14EC-4727-80CD-05CEA5183BB3}">
      <text>
        <r>
          <rPr>
            <b/>
            <sz val="9"/>
            <color indexed="81"/>
            <rFont val="Tahoma"/>
            <family val="2"/>
          </rPr>
          <t>Anna Krawczyk:</t>
        </r>
        <r>
          <rPr>
            <sz val="9"/>
            <color indexed="81"/>
            <rFont val="Tahoma"/>
            <family val="2"/>
          </rPr>
          <t xml:space="preserve">
50%R and 50%C for 2016-2018
</t>
        </r>
      </text>
    </comment>
    <comment ref="A40" authorId="0" shapeId="0" xr:uid="{6086FED5-5477-4429-AC68-EE000897DB6F}">
      <text>
        <r>
          <rPr>
            <b/>
            <sz val="9"/>
            <color indexed="81"/>
            <rFont val="Tahoma"/>
            <family val="2"/>
          </rPr>
          <t>Anna Krawczyk:</t>
        </r>
        <r>
          <rPr>
            <sz val="9"/>
            <color indexed="81"/>
            <rFont val="Tahoma"/>
            <family val="2"/>
          </rPr>
          <t xml:space="preserve">
50%R and 50%C for 2016-2018
</t>
        </r>
      </text>
    </comment>
  </commentList>
</comments>
</file>

<file path=xl/sharedStrings.xml><?xml version="1.0" encoding="utf-8"?>
<sst xmlns="http://schemas.openxmlformats.org/spreadsheetml/2006/main" count="2940" uniqueCount="553">
  <si>
    <t xml:space="preserve">Electric Saving LTkWh : </t>
  </si>
  <si>
    <t>Demand Saving kW :</t>
  </si>
  <si>
    <t>Incentive Basis Budget</t>
  </si>
  <si>
    <t>Electric Savings LTkWh :</t>
  </si>
  <si>
    <t>/ kWh</t>
  </si>
  <si>
    <t>/ kW</t>
  </si>
  <si>
    <t>Other</t>
  </si>
  <si>
    <t xml:space="preserve">   Administration</t>
  </si>
  <si>
    <t xml:space="preserve">   Information Technology</t>
  </si>
  <si>
    <t>Total</t>
  </si>
  <si>
    <t>Budget</t>
  </si>
  <si>
    <t>Table A</t>
  </si>
  <si>
    <t>Incentives</t>
  </si>
  <si>
    <t xml:space="preserve"> </t>
  </si>
  <si>
    <t>Outside Services</t>
  </si>
  <si>
    <t>RESIDENTIAL</t>
  </si>
  <si>
    <t>COMMERCIAL &amp; INDUSTRIAL</t>
  </si>
  <si>
    <t xml:space="preserve">   Energy Opportunities</t>
  </si>
  <si>
    <t>r8c2</t>
  </si>
  <si>
    <t>OTHER - LOAD MANAGEMENT</t>
  </si>
  <si>
    <t xml:space="preserve">      Subtotal Load Management</t>
  </si>
  <si>
    <t xml:space="preserve">   Research, Development &amp; Demonstration</t>
  </si>
  <si>
    <t>OTHER - ADMINISTRATIVE &amp; PLANNING</t>
  </si>
  <si>
    <t xml:space="preserve">     Admin/Planning Expenditures</t>
  </si>
  <si>
    <t>PROGRAM SUB-TOTALS</t>
  </si>
  <si>
    <t xml:space="preserve">                    Residential </t>
  </si>
  <si>
    <t xml:space="preserve">                    C&amp;I</t>
  </si>
  <si>
    <t xml:space="preserve">                        TOTAL C&amp;LM BUDGET</t>
  </si>
  <si>
    <t xml:space="preserve">                   TOTAL</t>
  </si>
  <si>
    <t>r</t>
  </si>
  <si>
    <t>c</t>
  </si>
  <si>
    <t>o</t>
  </si>
  <si>
    <t>Materials
 &amp; 
Supplies</t>
  </si>
  <si>
    <t>Marketing</t>
  </si>
  <si>
    <t>Administrative Expenses</t>
  </si>
  <si>
    <t>TOTAL</t>
  </si>
  <si>
    <t>Expense Classes</t>
  </si>
  <si>
    <t>Materials &amp; Supplies</t>
  </si>
  <si>
    <t xml:space="preserve">Other </t>
  </si>
  <si>
    <t>OTHER - PROGRAMS/REQUIREMENTS</t>
  </si>
  <si>
    <t xml:space="preserve">OTHER - PROGRAMS/REQUIREMENTS </t>
  </si>
  <si>
    <t>OTHER  - LOAD MANAGEMENT</t>
  </si>
  <si>
    <t>Difference</t>
  </si>
  <si>
    <t>R</t>
  </si>
  <si>
    <t>C</t>
  </si>
  <si>
    <t>OTHER -PROGRAMS/REQUIREMENTS</t>
  </si>
  <si>
    <t>O</t>
  </si>
  <si>
    <t>Customer Class</t>
  </si>
  <si>
    <t xml:space="preserve"> Residential Subtotal</t>
  </si>
  <si>
    <t>Municipal</t>
  </si>
  <si>
    <t>C&amp;I Subtotal</t>
  </si>
  <si>
    <t>Other Expenditures</t>
  </si>
  <si>
    <t>Other Expenditures Subtotal</t>
  </si>
  <si>
    <t>% of</t>
  </si>
  <si>
    <t>Low Income</t>
  </si>
  <si>
    <t>Small/Med</t>
  </si>
  <si>
    <t>Large</t>
  </si>
  <si>
    <t>Revenues By Customer Class*</t>
  </si>
  <si>
    <t>Non-Gov't. C&amp;I</t>
  </si>
  <si>
    <t>Other Gov't.</t>
  </si>
  <si>
    <t>Residential</t>
  </si>
  <si>
    <t>Contractor Labor</t>
  </si>
  <si>
    <t>Pretax Incentive</t>
  </si>
  <si>
    <t xml:space="preserve">Pre-tax Incentive  </t>
  </si>
  <si>
    <t>SECTOR</t>
  </si>
  <si>
    <t>Performance Indicators</t>
  </si>
  <si>
    <t>Incentive Metrics</t>
  </si>
  <si>
    <t>Incentive Metric</t>
  </si>
  <si>
    <t>Target Goal</t>
  </si>
  <si>
    <t>Weight</t>
  </si>
  <si>
    <t>Incentive</t>
  </si>
  <si>
    <t xml:space="preserve">Program Name  </t>
  </si>
  <si>
    <t>LT-kWh</t>
  </si>
  <si>
    <t>kW</t>
  </si>
  <si>
    <t>%  (1)</t>
  </si>
  <si>
    <t>New Construction</t>
  </si>
  <si>
    <t xml:space="preserve">   Total</t>
  </si>
  <si>
    <t xml:space="preserve">Savings Rate </t>
  </si>
  <si>
    <t xml:space="preserve">Electric Savings LTkWh : </t>
  </si>
  <si>
    <t>COMMERCIAL &amp; INDUSTRIAL (C&amp;I)</t>
  </si>
  <si>
    <t>Small Business</t>
  </si>
  <si>
    <t>(1) percent of target goal</t>
  </si>
  <si>
    <t xml:space="preserve">Total of Incentives </t>
  </si>
  <si>
    <t xml:space="preserve">Electric System Benefit less Program Costs </t>
  </si>
  <si>
    <t>Net Electric System Benefit - Res.</t>
  </si>
  <si>
    <t>Demand Savings kw :</t>
  </si>
  <si>
    <t>Demand Savings kW :</t>
  </si>
  <si>
    <t>Net Electric System Benefit- C&amp;I</t>
  </si>
  <si>
    <t>Maximum</t>
  </si>
  <si>
    <t>-Performance Incentive Illustration-</t>
  </si>
  <si>
    <t>Electric System Benefit from Residential programs</t>
  </si>
  <si>
    <t>Electric System Benefit from C&amp;I programs</t>
  </si>
  <si>
    <t>Total Electric System Benefit from C&amp;I programs</t>
  </si>
  <si>
    <t>Sum of Electric System Benefit from Residential programs</t>
  </si>
  <si>
    <t xml:space="preserve">   Science Center</t>
  </si>
  <si>
    <t xml:space="preserve">   SmartLiving Center® - Museum Partnerships</t>
  </si>
  <si>
    <t>Retail Products</t>
  </si>
  <si>
    <t>Energy Opportunities</t>
  </si>
  <si>
    <t>Actual</t>
  </si>
  <si>
    <t xml:space="preserve">     TOTAL (excludes ISO Load Response)</t>
  </si>
  <si>
    <t>PROGRAM SUBTOTALS</t>
  </si>
  <si>
    <t>Residential and C&amp;I Subtotal</t>
  </si>
  <si>
    <t xml:space="preserve">C&amp;I Programs (Sector Level) Sector Budget </t>
  </si>
  <si>
    <t>res</t>
  </si>
  <si>
    <t>ci</t>
  </si>
  <si>
    <t>total</t>
  </si>
  <si>
    <t>Energy Conscious Blueprint</t>
  </si>
  <si>
    <t>UI</t>
  </si>
  <si>
    <t xml:space="preserve">C&amp;I </t>
  </si>
  <si>
    <t>Home Energy Solutions</t>
  </si>
  <si>
    <t>Table A1</t>
  </si>
  <si>
    <t>Residential New Construction</t>
  </si>
  <si>
    <t>C&amp;I Large</t>
  </si>
  <si>
    <t>C&amp;I Small/Med</t>
  </si>
  <si>
    <t xml:space="preserve">   Residential Retail Products</t>
  </si>
  <si>
    <t xml:space="preserve">   Residential New Construction</t>
  </si>
  <si>
    <t xml:space="preserve">   Energy Conscious Blueprint</t>
  </si>
  <si>
    <t xml:space="preserve">  Small Business</t>
  </si>
  <si>
    <t xml:space="preserve">   ISO Load Response Program</t>
  </si>
  <si>
    <t xml:space="preserve">   C&amp;I Loan Program</t>
  </si>
  <si>
    <t>Table A2</t>
  </si>
  <si>
    <t>Revenues</t>
  </si>
  <si>
    <t xml:space="preserve">   Class III Renewable Energy Credits</t>
  </si>
  <si>
    <t xml:space="preserve">      Subtotal Other Programs/Requirements</t>
  </si>
  <si>
    <t xml:space="preserve">     TOTAL (includes ISO Load Response)</t>
  </si>
  <si>
    <t xml:space="preserve">                    Other*</t>
  </si>
  <si>
    <t xml:space="preserve">   Small Business</t>
  </si>
  <si>
    <t xml:space="preserve">    Energy Opportunities</t>
  </si>
  <si>
    <t>Table C Pie Chart</t>
  </si>
  <si>
    <t xml:space="preserve">   Other Funding Requests</t>
  </si>
  <si>
    <t xml:space="preserve">   HES Income Eligible</t>
  </si>
  <si>
    <t>Res. Income Eligible</t>
  </si>
  <si>
    <t>Res. Non Income Eligible</t>
  </si>
  <si>
    <t xml:space="preserve">   RGGI*</t>
  </si>
  <si>
    <t xml:space="preserve">   Marketing Plan</t>
  </si>
  <si>
    <t xml:space="preserve">             </t>
  </si>
  <si>
    <t xml:space="preserve">   CAM (Net of Gross Receipts Tax)</t>
  </si>
  <si>
    <t xml:space="preserve">   EE Smarts/K-12 Education</t>
  </si>
  <si>
    <t xml:space="preserve">   Clean Energy Communities / Behavior Pilot</t>
  </si>
  <si>
    <t xml:space="preserve">   ESPC Project Manager - Lead By Example</t>
  </si>
  <si>
    <t xml:space="preserve">   Residential Behavior</t>
  </si>
  <si>
    <t xml:space="preserve">   Customer Engagement</t>
  </si>
  <si>
    <t xml:space="preserve">   C&amp;I Self Funding</t>
  </si>
  <si>
    <t>Table A Pie Chart</t>
  </si>
  <si>
    <t>Combined</t>
  </si>
  <si>
    <t xml:space="preserve">   Residential Behavior </t>
  </si>
  <si>
    <t>Table A1 Pie Chart</t>
  </si>
  <si>
    <t>Table D</t>
  </si>
  <si>
    <t>Table D1</t>
  </si>
  <si>
    <t>Table D3</t>
  </si>
  <si>
    <t>Table D4</t>
  </si>
  <si>
    <t>Strategic Energy Management</t>
  </si>
  <si>
    <t xml:space="preserve">                    Other</t>
  </si>
  <si>
    <t xml:space="preserve">   Residential Retail Products </t>
  </si>
  <si>
    <t xml:space="preserve">   Residential Loan Program (Includes ECLF and OBR)</t>
  </si>
  <si>
    <t xml:space="preserve">   Residential Loan Program (includes ECLF and OBR)</t>
  </si>
  <si>
    <t>Carry Over</t>
  </si>
  <si>
    <t>Labor</t>
  </si>
  <si>
    <t xml:space="preserve">   Residential New Construction  </t>
  </si>
  <si>
    <t xml:space="preserve">   Energy Conscious Blueprint    </t>
  </si>
  <si>
    <t xml:space="preserve">   Energy Opportunities   </t>
  </si>
  <si>
    <t xml:space="preserve">                    Other   </t>
  </si>
  <si>
    <t xml:space="preserve">   Residential Retail Products           </t>
  </si>
  <si>
    <t xml:space="preserve">   Energy Conscious Blueprint   </t>
  </si>
  <si>
    <t xml:space="preserve">   Energy Opportunities  </t>
  </si>
  <si>
    <t xml:space="preserve">   Residential Retail Products        </t>
  </si>
  <si>
    <t xml:space="preserve">   Residential New Construction   </t>
  </si>
  <si>
    <t xml:space="preserve">                    Other  </t>
  </si>
  <si>
    <t xml:space="preserve">   Residential Retail Products          </t>
  </si>
  <si>
    <t>Eversource CT Electric</t>
  </si>
  <si>
    <t>Eversource CT Electric/UI</t>
  </si>
  <si>
    <t>Table C</t>
  </si>
  <si>
    <t>2015 Residential Revenue Distribution</t>
  </si>
  <si>
    <t>2015 Non Gov't C&amp;I Revenue Distribution</t>
  </si>
  <si>
    <t>2015 Residential Budget Distribution</t>
  </si>
  <si>
    <t>2015 Non Gov't C&amp;I Budget Distribution</t>
  </si>
  <si>
    <t>EVERSOURCE CT ELECTRIC</t>
  </si>
  <si>
    <t>Eversource CT Electric Historical and Projected $</t>
  </si>
  <si>
    <t>Eversource CT Electric Historical and Projected kW</t>
  </si>
  <si>
    <t>ES CT Electric</t>
  </si>
  <si>
    <t>Table D5</t>
  </si>
  <si>
    <t>Table D6</t>
  </si>
  <si>
    <t>Table D7</t>
  </si>
  <si>
    <t xml:space="preserve">Eversource CT Electric Historical and Cost per Projected kW </t>
  </si>
  <si>
    <t xml:space="preserve">   Educate the Public</t>
  </si>
  <si>
    <t xml:space="preserve">   Educate the Students</t>
  </si>
  <si>
    <t>Eversource CT Electric Historical and Cost per Projected Annual kWh</t>
  </si>
  <si>
    <t xml:space="preserve">   Institute for Sustainable Energy (ECSU) (moved to Educate the Workforce)</t>
  </si>
  <si>
    <t xml:space="preserve">   Educate the Workforce</t>
  </si>
  <si>
    <t xml:space="preserve">   C&amp;I Financing Support</t>
  </si>
  <si>
    <t>* Other -includes RD&amp;D, Admin, Planning &amp; Evaluation, and IT</t>
  </si>
  <si>
    <t>Proposed</t>
  </si>
  <si>
    <t>Eversource CT Electric Historical and Cost per Projected Lifetime kWh</t>
  </si>
  <si>
    <t xml:space="preserve">   Planning </t>
  </si>
  <si>
    <t xml:space="preserve">                   TOTAL       </t>
  </si>
  <si>
    <t xml:space="preserve">   C&amp;I Financing Support </t>
  </si>
  <si>
    <t>r5c5</t>
  </si>
  <si>
    <t xml:space="preserve">   Home Energy Solutions - HVAC, Water Heaters</t>
  </si>
  <si>
    <t xml:space="preserve">   Other Funding Requests </t>
  </si>
  <si>
    <t xml:space="preserve">   Home Energy Solutions - Core Services</t>
  </si>
  <si>
    <t xml:space="preserve">   C&amp;I Financing Support (2016-2018)</t>
  </si>
  <si>
    <t xml:space="preserve">   Residential HVAC</t>
  </si>
  <si>
    <t xml:space="preserve">   Energy Conservation Loan Program (ECLP)</t>
  </si>
  <si>
    <t xml:space="preserve">   HES Appliance Retirement</t>
  </si>
  <si>
    <t xml:space="preserve">   HES Window Rebate</t>
  </si>
  <si>
    <t xml:space="preserve">   HES Furnace</t>
  </si>
  <si>
    <t xml:space="preserve">   HES Heat Pump Water Heater</t>
  </si>
  <si>
    <t xml:space="preserve">   HES Insulation Rebate</t>
  </si>
  <si>
    <t>Eversource CT Electric/UI EE Revenues</t>
  </si>
  <si>
    <t>EE Budget By Expense Class</t>
  </si>
  <si>
    <t xml:space="preserve">   EE Loan Defaults</t>
  </si>
  <si>
    <t xml:space="preserve">EE TOTAL </t>
  </si>
  <si>
    <t>EE TOTAL</t>
  </si>
  <si>
    <t xml:space="preserve">   HES HVAC</t>
  </si>
  <si>
    <t>Eversource CT Electric Historical and Projected Units</t>
  </si>
  <si>
    <t>% of Total Budget</t>
  </si>
  <si>
    <t xml:space="preserve">Savings </t>
  </si>
  <si>
    <t>Business and Energy Sustainability</t>
  </si>
  <si>
    <t>Behavior</t>
  </si>
  <si>
    <t xml:space="preserve">   Evaluation Administrator</t>
  </si>
  <si>
    <t xml:space="preserve">   Energy Efficiency Board Consultants</t>
  </si>
  <si>
    <t xml:space="preserve">   Performance Management Incentive (PMI)</t>
  </si>
  <si>
    <t xml:space="preserve">   Evaluation Measurement and Verification</t>
  </si>
  <si>
    <t xml:space="preserve">   Audits - Financial and Operational</t>
  </si>
  <si>
    <t xml:space="preserve">                       TOTAL EE BUDGET</t>
  </si>
  <si>
    <t xml:space="preserve">   Performance Management Incentive</t>
  </si>
  <si>
    <t xml:space="preserve">   Audit - Financial and Operational</t>
  </si>
  <si>
    <t xml:space="preserve">   Residential Loan Program</t>
  </si>
  <si>
    <t>C&amp;I</t>
  </si>
  <si>
    <t>Commercial &amp; Industrial</t>
  </si>
  <si>
    <t>Sector</t>
  </si>
  <si>
    <t>Table A Pie Sector Allocation</t>
  </si>
  <si>
    <t>%</t>
  </si>
  <si>
    <t xml:space="preserve">  HES-IE</t>
  </si>
  <si>
    <t xml:space="preserve">  Residential Loan Program</t>
  </si>
  <si>
    <t xml:space="preserve">  Residential New Construction</t>
  </si>
  <si>
    <t xml:space="preserve">  Residential Behavior</t>
  </si>
  <si>
    <t xml:space="preserve">  Educate the Public</t>
  </si>
  <si>
    <t xml:space="preserve">  Customer Engagement</t>
  </si>
  <si>
    <t xml:space="preserve">  Educate the Student</t>
  </si>
  <si>
    <t xml:space="preserve">  Demand Response - Residential Pilot Program</t>
  </si>
  <si>
    <t xml:space="preserve">  Marketing Plan</t>
  </si>
  <si>
    <t xml:space="preserve">  C&amp;I Financing Support</t>
  </si>
  <si>
    <t xml:space="preserve">  Demand Response</t>
  </si>
  <si>
    <t xml:space="preserve">  Educate the Workforce</t>
  </si>
  <si>
    <t xml:space="preserve">  Research, Development, Demonstration</t>
  </si>
  <si>
    <t xml:space="preserve">  Administration</t>
  </si>
  <si>
    <t xml:space="preserve">  Planning</t>
  </si>
  <si>
    <t xml:space="preserve">  Evaluation Measurement and Verification</t>
  </si>
  <si>
    <t xml:space="preserve">  Evaluation Administrator</t>
  </si>
  <si>
    <t xml:space="preserve">  Information Technology</t>
  </si>
  <si>
    <t xml:space="preserve">  Energy Efficiency Board Consultants</t>
  </si>
  <si>
    <t xml:space="preserve">  Audit - Financial and Operational</t>
  </si>
  <si>
    <t xml:space="preserve">  Performance Management Incentive</t>
  </si>
  <si>
    <t xml:space="preserve">50% of signed projects
</t>
  </si>
  <si>
    <t>TOTAL BUDGET</t>
  </si>
  <si>
    <t xml:space="preserve">   Residential Demand Response</t>
  </si>
  <si>
    <t xml:space="preserve">   C&amp;I Demand Response </t>
  </si>
  <si>
    <t xml:space="preserve">   C&amp;I Demand Response</t>
  </si>
  <si>
    <t xml:space="preserve">OTHER - EDUCATION &amp; ENGAGEMENT </t>
  </si>
  <si>
    <t xml:space="preserve">      Subtotal Education &amp; Engagement</t>
  </si>
  <si>
    <t>OTHER - EDUCATION &amp; ENGAGEMENT</t>
  </si>
  <si>
    <t>OTHER -EDUCATION &amp; ENGAGEMENT</t>
  </si>
  <si>
    <t>Results</t>
  </si>
  <si>
    <t xml:space="preserve">   Prior Period Over/(Under) Collections</t>
  </si>
  <si>
    <t xml:space="preserve">   Prior Period Under/(Over) Budget</t>
  </si>
  <si>
    <t xml:space="preserve">   </t>
  </si>
  <si>
    <t>Eversource CT Electric 2021 EE Budget Details</t>
  </si>
  <si>
    <t>2021 ENERGY EFFICIENCY</t>
  </si>
  <si>
    <t>Goals</t>
  </si>
  <si>
    <t xml:space="preserve">2021 Management Incentive Performance Indicators and Incentive Matrix </t>
  </si>
  <si>
    <t>HVAC</t>
  </si>
  <si>
    <t>Increase % of efficient new homes</t>
  </si>
  <si>
    <t>*RGGI Budget is based on calculation by the Companies and DEEP.</t>
  </si>
  <si>
    <t>Promote Strategic Energy Management (SEM) Initiatives</t>
  </si>
  <si>
    <t xml:space="preserve">        Subtotal: Residential EE Portfolio </t>
  </si>
  <si>
    <t xml:space="preserve">   HES-Income Eligible</t>
  </si>
  <si>
    <t xml:space="preserve">  Subtotal: C&amp;I EE Portfolio</t>
  </si>
  <si>
    <t xml:space="preserve">      Subtotal: Education &amp; Engagement</t>
  </si>
  <si>
    <t xml:space="preserve">      Subtotal: Programs/Requirements</t>
  </si>
  <si>
    <t xml:space="preserve">      Subtotal: Load Management</t>
  </si>
  <si>
    <t xml:space="preserve">     Subtotal: Admin/Planning Expenditures</t>
  </si>
  <si>
    <t xml:space="preserve">   Residential Loan Program 
   (Includes ECLF and OBR)</t>
  </si>
  <si>
    <t>Res. Income-Eligible</t>
  </si>
  <si>
    <t>% of Residential and C&amp;I Revenue</t>
  </si>
  <si>
    <t>Totals may vary due to rounding.</t>
  </si>
  <si>
    <t>*Please see attached Budget Allocation Table.</t>
  </si>
  <si>
    <t>% of Residential and C&amp;I Budget</t>
  </si>
  <si>
    <t>Res. Non Income-Eligible</t>
  </si>
  <si>
    <t xml:space="preserve">        Total: EE Revenues</t>
  </si>
  <si>
    <t>ES CT Electric/UI 
EE REVENUES</t>
  </si>
  <si>
    <t xml:space="preserve">        Subtotal: Residential EE Portfolio</t>
  </si>
  <si>
    <t xml:space="preserve">   Business &amp; Energy Sustainability 
  (O&amp;M, RCx, BSC, PRIME, CSP/SEM)</t>
  </si>
  <si>
    <t>EVERSOURCE CT ELECTRIC 
EE BUDGET</t>
  </si>
  <si>
    <t>Note: Core Residential and C&amp;I programs that produce savings are allocated 100% to the Residential and C&amp;I sectors, respectively. Other programs budgets are allocated to both Residential and C&amp;I sectors based on an estimated percentage of the sector that those dollars will directly benefit by the percentages above.</t>
  </si>
  <si>
    <t>Note: Municipalities and state facilities are eligible to participate in C&amp;I Program offerings as applicable.</t>
  </si>
  <si>
    <t xml:space="preserve">        Subtotal: C&amp;I EE Portfolio</t>
  </si>
  <si>
    <t xml:space="preserve">        Subtotal: Education &amp; Engagement</t>
  </si>
  <si>
    <t xml:space="preserve">        Subtotal: Programs/Requirements</t>
  </si>
  <si>
    <t xml:space="preserve">        Subtotal: Load Management</t>
  </si>
  <si>
    <t xml:space="preserve">       Subtotal: Admin/Planning Expenditures</t>
  </si>
  <si>
    <t>Eversource CT Electric 
EE BUDGET ($000)</t>
  </si>
  <si>
    <t xml:space="preserve">    Business &amp; Energy Sustainability
   (O&amp;M, RCx, BSC, PRIME, CSP/SEM)</t>
  </si>
  <si>
    <t xml:space="preserve">   Residential Loan Program
   (includes ECLF and OBR)</t>
  </si>
  <si>
    <t>% of 
Budget</t>
  </si>
  <si>
    <t xml:space="preserve">   Institute for Sustainable Energy (ECSU) 
   (moved to Educate the Workforce)</t>
  </si>
  <si>
    <t xml:space="preserve">   Residential Loan Program 
   (includes ECLF and OBR)</t>
  </si>
  <si>
    <t xml:space="preserve">      Subtotal: Other Programs/Requirements</t>
  </si>
  <si>
    <t xml:space="preserve">   Subtotal: Residential EE Portfolio</t>
  </si>
  <si>
    <t xml:space="preserve">       Total: Home Energy Solution (HES)</t>
  </si>
  <si>
    <t>HOME ENERGY SOLUTIONS (HES)</t>
  </si>
  <si>
    <t xml:space="preserve">  Subtotal: Residential EE Portfolio</t>
  </si>
  <si>
    <t>Eversource CT Electric/UI 
EE BUDGET</t>
  </si>
  <si>
    <t>Performance %
Minimum</t>
  </si>
  <si>
    <t xml:space="preserve">Residential Programs 
(Sector Level) Sector Budget </t>
  </si>
  <si>
    <t>Energy Savings included in appropriate sector-level metric</t>
  </si>
  <si>
    <t>HES-
Income Eligible</t>
  </si>
  <si>
    <t>Energy 
Opportunities</t>
  </si>
  <si>
    <t>Continue to promote comprehensive projects</t>
  </si>
  <si>
    <t xml:space="preserve">Goals will be prorated based on
 actual over/under spend of budget. </t>
  </si>
  <si>
    <t>HES-Income Eligible</t>
  </si>
  <si>
    <t xml:space="preserve"> Number of new construction/major renovation projects that are more efficient 
than the State Energy Code and are:  30% &gt; ASHRAE 90.1-2013 or IECC 2015,
 or utilize Whole Building Performance, or Near Net Zero</t>
  </si>
  <si>
    <t>Continue to promote comprehensive 
projects</t>
  </si>
  <si>
    <t>Continue to advance projects that are 
more efficient than
 the State Energy 
Code, etc.</t>
  </si>
  <si>
    <t>Energy Savings 
included in appropriate sector-level metric</t>
  </si>
  <si>
    <t>This is a penalty metric - 5.0%</t>
  </si>
  <si>
    <t>Statewide (ES CT Electric and UI) 
2021 EE Budget and Parity Analysis</t>
  </si>
  <si>
    <t xml:space="preserve">Eversource CT Electric 
2021 EE Budget and Parity Analysis   </t>
  </si>
  <si>
    <t>Budget
($,000) *</t>
  </si>
  <si>
    <t>Budget
 ($,000) *</t>
  </si>
  <si>
    <t>Table D2</t>
  </si>
  <si>
    <t>Increase Homes being Weatherized</t>
  </si>
  <si>
    <t>Increase HES savings per Home</t>
  </si>
  <si>
    <t>Increase HES-IE 
savings per home</t>
  </si>
  <si>
    <t>Expend the HES-IE Budget. Full Penalty is 5.0% times HES-IE Budgeted Spending. Expending 95% spending avoids the penalty. The penalty is on a sliding scale from 85% to 95%. Above 85% spending, the penalty is scaled with
 a 10% reduction in the penalty for each one percentage point increase in budget spend above 85%.</t>
  </si>
  <si>
    <t>The Companies will engage 10 companies that are part of a cohort (one or 
more) with each company saving a minimum of 10 annual MWH and the Companies also will engage with 10 individual companies with each company’s savings a minimum of 25 annual MWh.SEM savings will be measured and claimed as per CEE SEM Minimum Elements. Based on the above the participation goal is 20 total companies with savings (10 as part of a cohort 
and 10 individuals).</t>
  </si>
  <si>
    <t>Eversource CT Electric Historical and Projected Annual kWh (000s)</t>
  </si>
  <si>
    <t>Eversource CT Electric Historical and Projected Lifetime kWh (000s)</t>
  </si>
  <si>
    <t xml:space="preserve">Eversource CT Electric/UI </t>
  </si>
  <si>
    <t xml:space="preserve">   Interest Due to Company/
   Other Revenues</t>
  </si>
  <si>
    <t>Equitable Distribution</t>
  </si>
  <si>
    <t>Expend 2021
HES-IE Budget</t>
  </si>
  <si>
    <t>Achieve 2.1% Particpation</t>
  </si>
  <si>
    <t>The Companies will track the participation in HES or HES-IE from January 1, 2021 through December 31, 2021 of all customers automatically enrolled in the Matching Payment Program (“MPP”) at the time of November 1, 2020 and achieve 2.1% participation.The Companies will track participation.</t>
  </si>
  <si>
    <r>
      <t xml:space="preserve">Eversource CT Electric and the EEB recognize that having clear indicators and metrics of performance are helpful in delivering quality programs to Connecticut consumers.  
The following is a table of performance and incentive metrics developed by the Companies with input from the EEB, the EEB consultants and DEEP. These performance 
and incentive metrics apply to the programs delineated in the 2019-2021 Plan. The projected Eversource CT Performance Incentive is </t>
    </r>
    <r>
      <rPr>
        <b/>
        <sz val="14"/>
        <rFont val="Arial"/>
        <family val="2"/>
      </rPr>
      <t xml:space="preserve">$6,913,829 </t>
    </r>
    <r>
      <rPr>
        <sz val="14"/>
        <rFont val="Arial"/>
        <family val="2"/>
      </rPr>
      <t xml:space="preserve">and is based on achieving 
</t>
    </r>
    <r>
      <rPr>
        <b/>
        <sz val="14"/>
        <rFont val="Arial"/>
        <family val="2"/>
      </rPr>
      <t>100%</t>
    </r>
    <r>
      <rPr>
        <sz val="14"/>
        <rFont val="Arial"/>
        <family val="2"/>
      </rPr>
      <t xml:space="preserve"> of all performance targets and earning an incentive of </t>
    </r>
    <r>
      <rPr>
        <b/>
        <sz val="14"/>
        <rFont val="Arial"/>
        <family val="2"/>
      </rPr>
      <t>4.5%</t>
    </r>
    <r>
      <rPr>
        <sz val="14"/>
        <rFont val="Arial"/>
        <family val="2"/>
      </rPr>
      <t xml:space="preserve"> of the total EE program budget of </t>
    </r>
    <r>
      <rPr>
        <b/>
        <sz val="14"/>
        <rFont val="Arial"/>
        <family val="2"/>
      </rPr>
      <t xml:space="preserve">$153,640,654 </t>
    </r>
    <r>
      <rPr>
        <sz val="14"/>
        <rFont val="Arial"/>
        <family val="2"/>
      </rPr>
      <t>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</si>
  <si>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t>Achieve 13.38 MMBTU
 in HES per single-family home 
savings across
 all fuels</t>
  </si>
  <si>
    <t>MMBTU per single-family home (not including lighting) for Core Services that 
have air sealing completed (i.e., non-barriered homes). Based on 2020 actuals 
adjusted to 2021 CT PSD plus 2.0% (13.12*102%).</t>
  </si>
  <si>
    <t xml:space="preserve">Number of homes that receive insulation rebates/Number of homes that receive HES Assessments. Based on 2020 actuals plus 2.0% (26.66%+2%). </t>
  </si>
  <si>
    <t>28.66% of homes that receive insulation rebates</t>
  </si>
  <si>
    <t>Percentage of single-family and single-family attached homes/units in 
the RNC program that achieve a HERS rating of 50 or less. 
Based on 2020 Actual plus 4.0% points (42.2%+4%).</t>
  </si>
  <si>
    <t>MMBTU per single-family home for Core Services that have air sealing completed (i.e., non-barriered homes). Based on 2020 actuals adjusted to 
2021 CT PSD plus 2.0% (14.44*102%).</t>
  </si>
  <si>
    <t>Achieve 14.73 MMBTU in HES-IE per single-family home savings across all fuels</t>
  </si>
  <si>
    <t xml:space="preserve"> Develop and implement comprehensive offerings. Offerings will consist of a tailored combination of measure and service bundles, and technical assistance for SEM, benchmarking. Calculated as signed projects that included comprehensive offerings
 at time of offering/all signed projects (excluding rebates). Comprehensive shall be defined as including multiple end-use measures with BES counting as an end use. 
Based on Prior Year Actual results + 5% (32%+5%)</t>
  </si>
  <si>
    <t xml:space="preserve">37% of all signed projects </t>
  </si>
  <si>
    <t>Develop and implement comprehensive projects. Offerings will consist of a tailored combination of measure and service bundles, and energy management. Calculated 
as signed projects that included comprehensive offerings at time of offering/all signed projects (excluding rebates). This is based on 2020 Actual results plus 5% (36%+5%)</t>
  </si>
  <si>
    <t xml:space="preserve">41%  of 
signed projects </t>
  </si>
  <si>
    <t>20 CEE SEM 
Minimum Elements</t>
  </si>
  <si>
    <t>Quartile 1 Healthcare</t>
  </si>
  <si>
    <t>Quartile 2 Financial, Real Estate &amp; Insurance</t>
  </si>
  <si>
    <t>Quartile 3 Healthcare</t>
  </si>
  <si>
    <t>Quartile 4 Retail</t>
  </si>
  <si>
    <t>Evaluation</t>
  </si>
  <si>
    <t xml:space="preserve">Timely turnaround on purchase orders and Evaluation Data requests based on agreed upon timelines for each study.  Sliding scale as noted in the PMI exhibit - with 100% of goal achievement based on 90% of the data requests and purchase orders being completed on time.  </t>
  </si>
  <si>
    <t>Timely turnaround</t>
  </si>
  <si>
    <t>Based on 90% of data request and purchase orders</t>
  </si>
  <si>
    <t>The Companies will track this data by using 2016-2020 data as a baseline to evaulate customer savings. The customers addressed by this KPI are customers who have not participated over the past 5 years.</t>
  </si>
  <si>
    <t>The Companies will increase savings from customers in the Quartile 1 Healthcare sector by 4% (relative to baseline average)</t>
  </si>
  <si>
    <t>The Companies will increase savings from customers in the Quartile 2 Financial, Real Estate &amp; Insurance sector by 3% (relative to baseline average)</t>
  </si>
  <si>
    <t>The Companies will increase savings from customers in the Quartile 3 Healthcare sector by 2% (relative to baseline average)</t>
  </si>
  <si>
    <t>The Companies will increase savings from customers in the Quartile 4 Retail sector by 0.44% (relative to baseline average)</t>
  </si>
  <si>
    <t>evaluation</t>
  </si>
  <si>
    <t>2021 - 2024</t>
  </si>
  <si>
    <t>Total Spending less PI</t>
  </si>
  <si>
    <t>Total Spending less PI, EA, EEB, Audit</t>
  </si>
  <si>
    <t>PI calculation</t>
  </si>
  <si>
    <t>Table A2 - Table A</t>
  </si>
  <si>
    <t xml:space="preserve">   Home Energy Solutions </t>
  </si>
  <si>
    <t xml:space="preserve">   HVAC &amp; Domestic Water Heating</t>
  </si>
  <si>
    <t>Parity</t>
  </si>
  <si>
    <t>LI 11%/Res non LI 39%/C&amp;I 50%</t>
  </si>
  <si>
    <t>2022</t>
  </si>
  <si>
    <t>2022 %</t>
  </si>
  <si>
    <t>2022 $</t>
  </si>
  <si>
    <t>2023</t>
  </si>
  <si>
    <t>2023 %</t>
  </si>
  <si>
    <t>2023 $</t>
  </si>
  <si>
    <t>2024</t>
  </si>
  <si>
    <t>2024 %</t>
  </si>
  <si>
    <t>2024 $</t>
  </si>
  <si>
    <t>LI 11%/Res non LI 40%/C&amp;I 49%</t>
  </si>
  <si>
    <t>LI 12%/Res non LI 40%/C&amp;I 48%</t>
  </si>
  <si>
    <t xml:space="preserve">   Business &amp; Energy Sustainability 
  (O&amp;M, RCx, PRIME, CSP/SEM)</t>
  </si>
  <si>
    <t xml:space="preserve">   Workforce Development  </t>
  </si>
  <si>
    <t xml:space="preserve">   Community Outreach</t>
  </si>
  <si>
    <t xml:space="preserve">   Customer Engagement Initiative</t>
  </si>
  <si>
    <t xml:space="preserve">   Energy Education</t>
  </si>
  <si>
    <t>Old names</t>
  </si>
  <si>
    <t xml:space="preserve">   Workforce Development</t>
  </si>
  <si>
    <t>old order</t>
  </si>
  <si>
    <t>New Order</t>
  </si>
  <si>
    <t>old line</t>
  </si>
  <si>
    <t>new line</t>
  </si>
  <si>
    <t xml:space="preserve">Eversource CT Electric 
2022 EE Budget and Parity Analysis   </t>
  </si>
  <si>
    <t xml:space="preserve">Eversource CT Electric 
2023 EE Budget and Parity Analysis   </t>
  </si>
  <si>
    <t xml:space="preserve">Eversource CT Electric 
2024 EE Budget and Parity Analysis   </t>
  </si>
  <si>
    <t>Eversource CT Electric 2022 EE Budget Details</t>
  </si>
  <si>
    <t>2022 ENERGY EFFICIENCY</t>
  </si>
  <si>
    <t>Eversource CT Electric 2023 EE Budget Details</t>
  </si>
  <si>
    <t>2023 ENERGY EFFICIENCY</t>
  </si>
  <si>
    <t>Eversource CT Electric 2024 EE Budget Details</t>
  </si>
  <si>
    <t>2024 ENERGY EFFICIENCY</t>
  </si>
  <si>
    <t xml:space="preserve">   Business &amp; Energy Sustainability 
   (O&amp;M, RCx, PRIME, CSP/SEM)</t>
  </si>
  <si>
    <t>Statewide (ES CT Electric and UI) 
2022 EE Budget and Parity Analysis</t>
  </si>
  <si>
    <t>Statewide (ES CT Electric and UI) 
2023 EE Budget and Parity Analysis</t>
  </si>
  <si>
    <t>Statewide (ES CT Electric and UI) 
2024 EE Budget and Parity Analysis</t>
  </si>
  <si>
    <t xml:space="preserve">EVERSOURCE CT ELECTRIC and UIL </t>
  </si>
  <si>
    <t xml:space="preserve">   ISO-NE Forward Capacity Market Revenues**</t>
  </si>
  <si>
    <t xml:space="preserve">**The EE FCM Payment Rates are: FCA-11-$5.30/kW-month, FCA-12-$4.63/kW-month, FCA-13-$3.80/kW-month, FCA-14-$2.00/kW-month and FCA-15-$2.61/kW-month. </t>
  </si>
  <si>
    <t xml:space="preserve">   Business &amp; Energy Sustainability
  (O&amp;M, RCx, PRIME, CSP/SEM)</t>
  </si>
  <si>
    <t xml:space="preserve">   Home Energy Solutions 
  (Core Services, HVAC, Duct Sealing through 2015)</t>
  </si>
  <si>
    <t xml:space="preserve">   Energy Education (Educate the Students 2016 to 2021)</t>
  </si>
  <si>
    <t xml:space="preserve">   Workforce Development (Educate the Workforce 2016 to 2021)</t>
  </si>
  <si>
    <t xml:space="preserve">   Community Outreach (Educate the Public 2016 to 2021)</t>
  </si>
  <si>
    <t xml:space="preserve">   Customer Engagement Initiative (Customer Engagement 2014 to 2021)</t>
  </si>
  <si>
    <t xml:space="preserve">     TOTAL </t>
  </si>
  <si>
    <t xml:space="preserve">     TOTAL</t>
  </si>
  <si>
    <t xml:space="preserve">2023 Management Incentive Performance Indicators and Incentive Matrix </t>
  </si>
  <si>
    <r>
      <t xml:space="preserve">Eversource CT Electric and the EEB recognize that having clear indicators and metrics of performance are helpful in delivering quality programs to Connecticut consumers.  
The following is a table of performance and incentive metrics developed by the Companies with input from the EEB, the EEB consultants and DEEP. These performance 
and incentive metrics apply to the programs delineated in the 2022-2024 Plan. The projected Eversource CT Performance Incentive is </t>
    </r>
    <r>
      <rPr>
        <b/>
        <sz val="14"/>
        <rFont val="Arial"/>
        <family val="2"/>
      </rPr>
      <t xml:space="preserve">$6,888,515 </t>
    </r>
    <r>
      <rPr>
        <sz val="14"/>
        <rFont val="Arial"/>
        <family val="2"/>
      </rPr>
      <t xml:space="preserve">and is based on achieving 
</t>
    </r>
    <r>
      <rPr>
        <b/>
        <sz val="14"/>
        <rFont val="Arial"/>
        <family val="2"/>
      </rPr>
      <t>100%</t>
    </r>
    <r>
      <rPr>
        <sz val="14"/>
        <rFont val="Arial"/>
        <family val="2"/>
      </rPr>
      <t xml:space="preserve"> of all performance targets and earning an incentive of 5</t>
    </r>
    <r>
      <rPr>
        <b/>
        <sz val="14"/>
        <rFont val="Arial"/>
        <family val="2"/>
      </rPr>
      <t>.0%</t>
    </r>
    <r>
      <rPr>
        <sz val="14"/>
        <rFont val="Arial"/>
        <family val="2"/>
      </rPr>
      <t xml:space="preserve"> of the total EE program budget of </t>
    </r>
    <r>
      <rPr>
        <b/>
        <sz val="14"/>
        <rFont val="Arial"/>
        <family val="2"/>
      </rPr>
      <t xml:space="preserve">$137,770,298 </t>
    </r>
    <r>
      <rPr>
        <sz val="14"/>
        <rFont val="Arial"/>
        <family val="2"/>
      </rPr>
      <t>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</si>
  <si>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t xml:space="preserve">2024 Management Incentive Performance Indicators and Incentive Matrix </t>
  </si>
  <si>
    <r>
      <t xml:space="preserve">Eversource CT Electric and the EEB recognize that having clear indicators and metrics of performance are helpful in delivering quality programs to Connecticut consumers.  
The following is a table of performance and incentive metrics developed by the Companies with input from the EEB, the EEB consultants and DEEP. These performance 
and incentive metrics apply to the programs delineated in the 2022-2024 Plan. The projected Eversource CT Performance Incentive is </t>
    </r>
    <r>
      <rPr>
        <b/>
        <sz val="14"/>
        <rFont val="Arial"/>
        <family val="2"/>
      </rPr>
      <t xml:space="preserve">$6,717,979 </t>
    </r>
    <r>
      <rPr>
        <sz val="14"/>
        <rFont val="Arial"/>
        <family val="2"/>
      </rPr>
      <t xml:space="preserve">and is based on achieving 
</t>
    </r>
    <r>
      <rPr>
        <b/>
        <sz val="14"/>
        <rFont val="Arial"/>
        <family val="2"/>
      </rPr>
      <t>100%</t>
    </r>
    <r>
      <rPr>
        <sz val="14"/>
        <rFont val="Arial"/>
        <family val="2"/>
      </rPr>
      <t xml:space="preserve"> of all performance targets and earning an incentive of 5</t>
    </r>
    <r>
      <rPr>
        <b/>
        <sz val="14"/>
        <rFont val="Arial"/>
        <family val="2"/>
      </rPr>
      <t>.0%</t>
    </r>
    <r>
      <rPr>
        <sz val="14"/>
        <rFont val="Arial"/>
        <family val="2"/>
      </rPr>
      <t xml:space="preserve"> of the total EE program budget of </t>
    </r>
    <r>
      <rPr>
        <b/>
        <sz val="14"/>
        <rFont val="Arial"/>
        <family val="2"/>
      </rPr>
      <t xml:space="preserve">$134,359,581 </t>
    </r>
    <r>
      <rPr>
        <sz val="14"/>
        <rFont val="Arial"/>
        <family val="2"/>
      </rPr>
      <t>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</si>
  <si>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t>LT Oil Gal</t>
  </si>
  <si>
    <t>LT Prop Gal</t>
  </si>
  <si>
    <t>LT Prop  Gal</t>
  </si>
  <si>
    <t>Resi Active Demand Response</t>
  </si>
  <si>
    <t>Resi ADR</t>
  </si>
  <si>
    <t xml:space="preserve">    Business &amp; Energy Sustainability
   (O&amp;M, RCx, PRIME, CSP/SEM)</t>
  </si>
  <si>
    <t>Resi ADR Savings</t>
  </si>
  <si>
    <t>Resi ADR savings Rate</t>
  </si>
  <si>
    <t>$/kw</t>
  </si>
  <si>
    <t>Resi DR Benefit</t>
  </si>
  <si>
    <t>Table D8</t>
  </si>
  <si>
    <t xml:space="preserve">Eversource CT Electric Historical and Projected Annual MMBTu </t>
  </si>
  <si>
    <t xml:space="preserve">Eversource CT Electric Historical and Projected Lifetime MMBTu </t>
  </si>
  <si>
    <t>Table D9</t>
  </si>
  <si>
    <t>MMBTU per HES single-family home (not including lighting) for Core Services where ductwork is present that 
has air sealing completed (i.e., non-barriered homes). Based on previous year's actuals 
adjusted to the current year CT PSD plus 2.0% (X*102%).</t>
  </si>
  <si>
    <t>MMBTU per HES single-family home (not including lighting) for Core Services where ductwork is not present that has air sealing completed (i.e., non-barriered homes). Based on previous year's actuals 
adjusted to the current year CT PSD plus 2.0% (X*102%).</t>
  </si>
  <si>
    <t>Number of HES homes that receive insulation rebates divided by the number of homes that receive the HES Assessments. Based on 2019 actuals for 2022, then based on the previous year's actuals thereafter plus 2.0% (X%+2%). (Baseline for 2022 will be 2019, for 2023 will be 2022 actuals, and for 2024 will be 2023 actuals. Baselines will be calculated for Eversource and UI individually.)</t>
  </si>
  <si>
    <t>Increase in HES savings per ducted home</t>
  </si>
  <si>
    <t>Achieve X MMBTU
 in HES per single-family ducted home 
savings across
 all fuels</t>
  </si>
  <si>
    <t>Increase in HES savings per non-ducted home</t>
  </si>
  <si>
    <t>Achieve X MMBTU  in HES per single-family non-ducted home 
savings across
 all fuels</t>
  </si>
  <si>
    <t>X% of homes that receive insulation rebates</t>
  </si>
  <si>
    <t xml:space="preserve">The weighted average percentage* of HERS rated participating units in the RNC program that achieve a HERS rating of 50 or less, based on the number of units in the previous year results plus 4.0%  (X%+4%). 
*Weighted average percentage = (SF/SFA Tier 2 -4 quantity * SF/SFA Tier 2-4 percent of all SF/SFA activity + MF Tier 2 -4 quantity * MF Tier 2-4 percent of all MF activity) / (SF/SFA Tier 2-4 quantity + MF Tier 2-4 Quantity). </t>
  </si>
  <si>
    <t xml:space="preserve">X% of homes </t>
  </si>
  <si>
    <t>MMBTU per HES-IE single-family home (not including lighting) for Core Services where ductwork is present that 
has air sealing completed (i.e., non-barriered homes). Based on previous year's actuals 
adjusted to the current year CT PSD plus 2.0% (X*102%).</t>
  </si>
  <si>
    <t>Increase in HES-IE savings per ducted home</t>
  </si>
  <si>
    <t>Achieve X MMBTU
 in HES-IE per single-family ducted home 
savings across
 all fuels</t>
  </si>
  <si>
    <t>MMBTU per HES-IE single-family home (not including lighting) for Core Services where ductwork is not present that has air sealing completed (i.e., non-barriered homes). Based on previous year's actuals 
adjusted to the current year CT PSD plus 2.0% (X*102%).</t>
  </si>
  <si>
    <t>Increase in HES-IE savings per non-ducted home</t>
  </si>
  <si>
    <t>Number of HES-IE homes that receive insulation divided by the number of homes that receive the HES-IE Assessments. Based on 2019 actuals for 2022, then based on the previous year's actuals thereafter plus 2.0% (X%+2%). (Baseline for 2022 will be 2019, for 2023 will be 2022 actuals, and for 2024 will be 2023 actuals. Baseline will be calculated with all the Companies together.)</t>
  </si>
  <si>
    <t>Increase in homes being weatherized</t>
  </si>
  <si>
    <t>Achieve X MMBTU  in HES-IE per single-family non-ducted home 
savings across
 all fuels</t>
  </si>
  <si>
    <t>C&amp;I Active Demand Response</t>
  </si>
  <si>
    <t>C&amp;I ADR</t>
  </si>
  <si>
    <t>C&amp;I ADR Savings</t>
  </si>
  <si>
    <t>C&amp;I ADR savings Rate</t>
  </si>
  <si>
    <t>C&amp;I DR Benefit</t>
  </si>
  <si>
    <t xml:space="preserve">X% of all signed projects </t>
  </si>
  <si>
    <t xml:space="preserve">X%  of 
signed projects </t>
  </si>
  <si>
    <t xml:space="preserve">System Benefit less Program Costs </t>
  </si>
  <si>
    <t>Net Benefit Resi DR</t>
  </si>
  <si>
    <t>Sum of Modifief Utility  Benefit from Residential programs</t>
  </si>
  <si>
    <t>Modified Utlity Benefit from Residential programs</t>
  </si>
  <si>
    <t>Net Modified Utlity Benefit - Res.</t>
  </si>
  <si>
    <t xml:space="preserve">Modified Utlity  Benefit less Program Costs </t>
  </si>
  <si>
    <t>Total Modified Utlity Benefit from C&amp;I programs</t>
  </si>
  <si>
    <t>Modified Utility Benefit from C&amp;I programs</t>
  </si>
  <si>
    <t>Net Modified Utility Benefit- C&amp;I</t>
  </si>
  <si>
    <t>NET Modified Utility benefit Resi Active Demand Response</t>
  </si>
  <si>
    <t>NET Modified Utility Benefit CI Active Demand Response</t>
  </si>
  <si>
    <t>Achieve X% Particpation</t>
  </si>
  <si>
    <t>Budget *</t>
  </si>
  <si>
    <t>The Companies will track this data by using 2018-2022 data as a baseline to evaulate customer savings. The customers addressed by this KPI are customers who have not participated over the past 5 years.</t>
  </si>
  <si>
    <t>The Companies will track this data by using 2019-2023 data as a baseline to evaulate customer savings. The customers addressed by this KPI are customers who have not participated over the past 5 years.</t>
  </si>
  <si>
    <t>The Companies will track the participation in 1-4 unit HES or HES-IE from January 1, 2023 through December 31, 2023 of all electric customers that are coded "hardship" (i.e., MPP, Eversource New Start and UI Forgiveness programs) at November 1, 2022 and achieve X% participation.</t>
  </si>
  <si>
    <t>The Companies will track the participation in 1-4 unit HES or HES-IE from January 1, 2024 through December 31, 2024 of all electric customers that are coded "hardship" (i.e., MPP, Eversource New Start and UI Forgiveness programs) at November 1, 2023 and achieve X% participation.</t>
  </si>
  <si>
    <t>12/31/2021</t>
  </si>
  <si>
    <t>03/01/2022</t>
  </si>
  <si>
    <t>chg in values only 34%</t>
  </si>
  <si>
    <t>chg values only 34%</t>
  </si>
  <si>
    <t>chg values only 35%</t>
  </si>
  <si>
    <t>chg values only to 34%</t>
  </si>
  <si>
    <t>chg values only 27%</t>
  </si>
  <si>
    <t>chg values only 14%</t>
  </si>
  <si>
    <t>chg values only to 37%</t>
  </si>
  <si>
    <t>chg values only to 13%</t>
  </si>
  <si>
    <t xml:space="preserve">2022 Management Incentive Performance Indicators and Incentive Matrix </t>
  </si>
  <si>
    <r>
      <t xml:space="preserve">Eversource CT Electric and the EEB recognize that having clear indicators and metrics of performance are helpful in delivering quality programs to Connecticut consumers.  
The following is a table of performance and incentive metrics developed by the Companies with input from the EEB, the EEB consultants and DEEP. These performance 
and incentive metrics apply to the programs delineated in the 2022-2024 Plan. The projected Eversource CT Performance Incentive is </t>
    </r>
    <r>
      <rPr>
        <b/>
        <sz val="14"/>
        <rFont val="Arial"/>
        <family val="2"/>
      </rPr>
      <t xml:space="preserve">$7,813,074 </t>
    </r>
    <r>
      <rPr>
        <sz val="14"/>
        <rFont val="Arial"/>
        <family val="2"/>
      </rPr>
      <t xml:space="preserve">and is based on achieving 
</t>
    </r>
    <r>
      <rPr>
        <b/>
        <sz val="14"/>
        <rFont val="Arial"/>
        <family val="2"/>
      </rPr>
      <t>100%</t>
    </r>
    <r>
      <rPr>
        <sz val="14"/>
        <rFont val="Arial"/>
        <family val="2"/>
      </rPr>
      <t xml:space="preserve"> of all performance targets and earning an incentive of</t>
    </r>
    <r>
      <rPr>
        <b/>
        <sz val="14"/>
        <rFont val="Arial"/>
        <family val="2"/>
      </rPr>
      <t xml:space="preserve"> 5.0%</t>
    </r>
    <r>
      <rPr>
        <sz val="14"/>
        <rFont val="Arial"/>
        <family val="2"/>
      </rPr>
      <t xml:space="preserve"> of the total EE program budget of </t>
    </r>
    <r>
      <rPr>
        <b/>
        <sz val="14"/>
        <rFont val="Arial"/>
        <family val="2"/>
      </rPr>
      <t xml:space="preserve">$156,261,473 </t>
    </r>
    <r>
      <rPr>
        <sz val="14"/>
        <rFont val="Arial"/>
        <family val="2"/>
      </rPr>
      <t>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</si>
  <si>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t>$/kW</t>
  </si>
  <si>
    <t>MMBTU per HES single-family home (not including lighting) for Core Services where ductwork is present that 
has air sealing completed (i.e., non-barriered homes). Based on previous year's actuals 
adjusted to the current year CT PSD plus 2.0% (17.89 X 102%=18.25).</t>
  </si>
  <si>
    <t>Achieve 18.25 MMBTU
 in HES per single-family ducted home 
savings across
 all fuels</t>
  </si>
  <si>
    <t>MMBTU per HES single-family home (not including lighting) for Core Services where ductwork is not present that has air sealing completed (i.e., non-barriered homes). Based on previous year's actuals 
adjusted to the current year CT PSD plus 2.0% (12.60X102%=12.85).</t>
  </si>
  <si>
    <t>Achieve 12.85 MMBTU  in HES per single-family non-ducted home 
savings across
 all fuels</t>
  </si>
  <si>
    <t>Number of HES homes that receive insulation rebates divided by the number of homes that receive the HES Assessments. Based on 2019 actuals for 2022, then based on the previous year's actuals thereafter plus 2.0% (19.74%+2%=21.74%). (Baseline for 2022 will be 2019, for 2023 will be 2022 actuals, and for 2024 will be 2023 actuals. Baselines will be calculated for Eversource and UI individually.)</t>
  </si>
  <si>
    <t>21.74% of homes that receive insulation rebates</t>
  </si>
  <si>
    <t xml:space="preserve">The weighted average percentage* of HERS rated participating units in the RNC program that achieve a HERS rating of 50 or less, based on the number of units in the previous year results plus 4.0%  (56.9%+4%=60.9%). 
*Weighted average percentage = (SF/SFA Tier 2 -4 quantity * SF/SFA Tier 2-4 percent of all SF/SFA activity + MF Tier 2 -4 quantity * MF Tier 2-4 percent of all MF activity) / (SF/SFA Tier 2-4 quantity + MF Tier 2-4 Quantity). </t>
  </si>
  <si>
    <t xml:space="preserve">60.9% of homes </t>
  </si>
  <si>
    <t>MMBTU per HES-IE single-family home (not including lighting) for Core Services where ductwork is present that 
has air sealing completed (i.e., non-barriered homes). Based on previous year's actuals 
adjusted to the current year CT PSD plus 2.0% (14.28X102%=14.57).</t>
  </si>
  <si>
    <t>Achieve 14.57 MMBTU
 in HES-IE per single-family ducted home 
savings across
 all fuels</t>
  </si>
  <si>
    <t>MMBTU per HES-IE single-family home (not including lighting) for Core Services where ductwork is not present that has air sealing completed (i.e., non-barriered homes). Based on previous year's actuals 
adjusted to the current year CT PSD plus 2.0% (10.83X102%=11.05).</t>
  </si>
  <si>
    <t>Achieve 11.05 MMBTU  in HES-IE per single-family non-ducted home 
savings across
 all fuels</t>
  </si>
  <si>
    <t>The Companies will track the participation in 1-4 unit HES or HES-IE from January 1, 2022 through December 31, 2022 of all electric customers that are coded "hardship" (i.e., MPP, Eversource New Start and UI Forgiveness programs) on November 1, 2021 and achieve for Eversource 5.0% participation (serving at least 2,207 customers).</t>
  </si>
  <si>
    <t>NET Modified Utility Benefit C&amp;I Active Demand Response</t>
  </si>
  <si>
    <t xml:space="preserve"> Develop and implement comprehensive offerings. Offerings will consist of a tailored combination of measure and service bundles, and technical assistance for SEM, benchmarking. Calculated as signed projects that included comprehensive offerings
 at time of offering/all signed projects (excluding rebates). Comprehensive shall be defined as including multiple end-use measures with BES counting as an end use. 
Based on Prior Year Actual results + 5% (53%+5%=58%).</t>
  </si>
  <si>
    <t xml:space="preserve">58% of all signed projects </t>
  </si>
  <si>
    <t>Develop and implement comprehensive projects. Offerings will consist of a tailored combination of measure and service bundles, and energy management. Calculated 
as signed projects that included comprehensive offerings at time of offering/all signed projects (excluding rebates).  Based on Prior Year Actual results + 5% (27%+5%=32%).</t>
  </si>
  <si>
    <t xml:space="preserve">32%  of 
signed projects </t>
  </si>
  <si>
    <t>The Companies will track this data by using 2017-2021 data as a baseline to evaulate customer savings. The customers addressed by this KPI are customers who have not participated over the past 5 years.</t>
  </si>
  <si>
    <t>Achieve 5% Participation serving at least 2,207 Customers</t>
  </si>
  <si>
    <t xml:space="preserve">   Home Energy Solutions</t>
  </si>
  <si>
    <t xml:space="preserve">   HVAC &amp; Water Heating Equipment</t>
  </si>
  <si>
    <t>HVAC &amp; Water Heating Equipment</t>
  </si>
  <si>
    <t>11/01/2022</t>
  </si>
  <si>
    <t>2023 old</t>
  </si>
  <si>
    <t>2023-new</t>
  </si>
  <si>
    <t>2024-new</t>
  </si>
  <si>
    <t>2025-new</t>
  </si>
  <si>
    <t xml:space="preserve">
EVERSOURCE CT ELECTRIC 2021-2025 EE Budget </t>
  </si>
  <si>
    <t>Eversource CT Electric 2022-2025</t>
  </si>
  <si>
    <t>49% of homes that receive insulation upgrades</t>
  </si>
  <si>
    <t>X% of homes that receive insulation upgrades</t>
  </si>
  <si>
    <t>C&amp;I Q1</t>
  </si>
  <si>
    <t>C&amp;I Q2</t>
  </si>
  <si>
    <t>C&amp;I Q3</t>
  </si>
  <si>
    <t>C&amp;I Q4</t>
  </si>
  <si>
    <t>The Companies will engage 20 participants in the Strategic Energy Management process and those participants* will deliver a minimum total of 500,000 kwh savings for SEM measures.  Eversource share is 16 participants and 400,000 kWh savings for SEM measures.</t>
  </si>
  <si>
    <t>Number of HES-IE homes that receive insulation upgrades divided by the number of homes that receive the HES-IE Assessments. Based on 2019 actuals for 2022, then based on the previous year's actuals thereafter plus 2.0% (X%+2%). (Baseline for 2022 will be 2019, for 2023 will be 2022 actuals, and for 2024 will be 2023 actuals. Baseline will be calculated with all the Companies together.)</t>
  </si>
  <si>
    <t>Number of HES-IE homes that receive insulation upgrades divided by the number of homes that receive the HES-IE Assessments. Based on 2019 actuals for 2022, then based on the previous year's actuals thereafter plus 2.0% (47%+2%=49%). (Baseline for 2022 will be 2019, for 2023 will be 2022 actuals, and for 2024 will be 2023 actuals. Baseline will be calculated with all the Companies together.)</t>
  </si>
  <si>
    <t>**The EE FCM Payment Rates are: FCA-12-$4.63/kW-month, FCA-13-$3.80/kW-month, FCA-14-$2.00/kW-month, FCA-15-$2.61/kW-month and FCA-16-$2.59/kW-month</t>
  </si>
  <si>
    <t>2021 - 2025</t>
  </si>
  <si>
    <t>2022 - 2025</t>
  </si>
  <si>
    <r>
      <t xml:space="preserve">Eversource CT Electric and the EEB recognize that having clear indicators and metrics of performance are helpful in delivering quality programs to Connecticut consumers.  
The following is a table of performance and incentive metrics developed by the Companies with input from the EEB, the EEB consultants and DEEP. These performance 
and incentive metrics apply to the programs delineated in the 2022-2024 Plan. The projected Eversource CT Performance Incentive is </t>
    </r>
    <r>
      <rPr>
        <b/>
        <sz val="14"/>
        <rFont val="Arial"/>
        <family val="2"/>
      </rPr>
      <t>$6,849,349</t>
    </r>
    <r>
      <rPr>
        <sz val="14"/>
        <rFont val="Arial"/>
        <family val="2"/>
      </rPr>
      <t xml:space="preserve"> and is based on achieving 
100% of all performance targets and earning an incentive of </t>
    </r>
    <r>
      <rPr>
        <b/>
        <sz val="14"/>
        <rFont val="Arial"/>
        <family val="2"/>
      </rPr>
      <t>5.0%</t>
    </r>
    <r>
      <rPr>
        <sz val="14"/>
        <rFont val="Arial"/>
        <family val="2"/>
      </rPr>
      <t xml:space="preserve"> of the total EE program budget of </t>
    </r>
    <r>
      <rPr>
        <b/>
        <sz val="14"/>
        <rFont val="Arial"/>
        <family val="2"/>
      </rPr>
      <t>$136,986,983</t>
    </r>
    <r>
      <rPr>
        <sz val="14"/>
        <rFont val="Arial"/>
        <family val="2"/>
      </rPr>
      <t xml:space="preserve"> 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</si>
  <si>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r>
      <t xml:space="preserve">Eversource CT Electric and the EEB recognize that having clear indicators and metrics of performance are helpful in delivering quality programs to Connecticut consumers.  
The following is a table of performance and incentive metrics developed by the Companies with input from the EEB, the EEB consultants and DEEP. These performance 
and incentive metrics apply to the programs delineated in the 2022-2024 Plan. The projected Eversource CT Performance Incentive is </t>
    </r>
    <r>
      <rPr>
        <b/>
        <sz val="14"/>
        <rFont val="Arial"/>
        <family val="2"/>
      </rPr>
      <t xml:space="preserve">$6,935,064 </t>
    </r>
    <r>
      <rPr>
        <sz val="14"/>
        <rFont val="Arial"/>
        <family val="2"/>
      </rPr>
      <t xml:space="preserve">and is based on achieving 
</t>
    </r>
    <r>
      <rPr>
        <b/>
        <sz val="14"/>
        <rFont val="Arial"/>
        <family val="2"/>
      </rPr>
      <t>100%</t>
    </r>
    <r>
      <rPr>
        <sz val="14"/>
        <rFont val="Arial"/>
        <family val="2"/>
      </rPr>
      <t xml:space="preserve"> of all performance targets and earning an incentive of </t>
    </r>
    <r>
      <rPr>
        <b/>
        <sz val="14"/>
        <rFont val="Arial"/>
        <family val="2"/>
      </rPr>
      <t>5.0%</t>
    </r>
    <r>
      <rPr>
        <sz val="14"/>
        <rFont val="Arial"/>
        <family val="2"/>
      </rPr>
      <t xml:space="preserve"> of the total EE program budget of </t>
    </r>
    <r>
      <rPr>
        <b/>
        <sz val="14"/>
        <rFont val="Arial"/>
        <family val="2"/>
      </rPr>
      <t xml:space="preserve">$138,701,283 </t>
    </r>
    <r>
      <rPr>
        <sz val="14"/>
        <rFont val="Arial"/>
        <family val="2"/>
      </rPr>
      <t>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</si>
  <si>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t xml:space="preserve"> Benefit less Program Costs </t>
  </si>
  <si>
    <t xml:space="preserve">Benefit less Program Costs </t>
  </si>
  <si>
    <t>16 CEE SEM 
Minimum Elements</t>
  </si>
  <si>
    <t>Commercial &amp; Industrial Retrofit (Energy Opportunities)</t>
  </si>
  <si>
    <t>Commercial &amp; Industrial New Construction      (Energy Conscious Blueprint)</t>
  </si>
  <si>
    <t>Number of C&amp;I new construction/major renovation projects that utilize Path 1 or Path 2. Projects will count towards this KPI in the year they have a signed study agreement or LOA</t>
  </si>
  <si>
    <t>Continue to advance projects that are 
more efficient than
the State Energy 
Code, net zero, etc.</t>
  </si>
  <si>
    <t xml:space="preserve">15% of signed projects
</t>
  </si>
  <si>
    <t>Develop and implement comprehensive projects. Comprehensive projects shall be defined as: signed LOAs or customer assessments within the current program year that result in projects with at least 2 measures with different end uses, projects receiving tier 2 or tier 3 incentives, enhanced or high performance lighting projects, or BES projects that result in a signed LOA or customer assessment within the current program year
Based on Prior Year Actual results + 5% (X%+5%).</t>
  </si>
  <si>
    <t xml:space="preserve">Develop and implement comprehensive projects. Comprehensive projects shall be defined as: signed LOAs within the current program year that result in projects with at least 2 measures with different end uses, projects receiving tier 2 or tier 3 incentives, enhanced or high performance lighting projects, or BES projects that result in a signed LOA within the current program year
Based on Prior Year Actual results + 5% (X%+5%).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</si>
</sst>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00_);_(&quot;$&quot;* \(#,##0.000\);_(&quot;$&quot;* &quot;-&quot;??_);_(@_)"/>
    <numFmt numFmtId="168" formatCode="m/d/yy"/>
    <numFmt numFmtId="169" formatCode="&quot;$&quot;#,##0"/>
    <numFmt numFmtId="170" formatCode="#,##0.000"/>
    <numFmt numFmtId="171" formatCode="_(&quot;$&quot;* #,##0.00000_);_(&quot;$&quot;* \(#,##0.00000\);_(&quot;$&quot;* &quot;-&quot;??_);_(@_)"/>
    <numFmt numFmtId="172" formatCode="mm/dd/yy;@"/>
    <numFmt numFmtId="173" formatCode="0.000000000000000%"/>
    <numFmt numFmtId="174" formatCode="0.0000"/>
    <numFmt numFmtId="175" formatCode="#,##0.0000"/>
    <numFmt numFmtId="176" formatCode="#,##0.00000"/>
    <numFmt numFmtId="177" formatCode="yyyy"/>
    <numFmt numFmtId="178" formatCode="&quot;$&quot;#,##0&quot;/kW&quot;;\(&quot;$&quot;#,##0\)&quot;/kW&quot;"/>
    <numFmt numFmtId="179" formatCode="&quot;$&quot;#,##0&quot;/kWh&quot;;\(&quot;$&quot;#,##0\)&quot;/kWh&quot;"/>
    <numFmt numFmtId="180" formatCode="&quot;$&quot;#,##0&quot;/kW-yr&quot;;\(&quot;$&quot;#,##0\)&quot;/kW-yr&quot;"/>
    <numFmt numFmtId="181" formatCode="&quot;$&quot;#,##0&quot;/MWh&quot;;\(&quot;$&quot;#,##0\)&quot;/MWh&quot;"/>
    <numFmt numFmtId="182" formatCode="&quot;$&quot;#,##0_)&quot;M&quot;;\(&quot;$&quot;#,##0\)&quot;M&quot;"/>
    <numFmt numFmtId="183" formatCode="0.00&quot;¢/kWh&quot;"/>
    <numFmt numFmtId="184" formatCode="_(&quot;$&quot;* #,##0.000_);_(&quot;$&quot;* \(#,##0.000\);_(&quot;$&quot;* &quot;-&quot;???_);_(@_)"/>
    <numFmt numFmtId="185" formatCode="&quot;$&quot;#,##0.00"/>
    <numFmt numFmtId="186" formatCode="0.0000000"/>
    <numFmt numFmtId="187" formatCode="0.00000000"/>
    <numFmt numFmtId="188" formatCode="_(* #,##0.0000_);_(* \(#,##0.0000\);_(* &quot;-&quot;??_);_(@_)"/>
    <numFmt numFmtId="189" formatCode="0.00000"/>
    <numFmt numFmtId="190" formatCode="_(&quot;$&quot;* #,##0.0_);_(&quot;$&quot;* \(#,##0.0\);_(&quot;$&quot;* &quot;-&quot;_);_(@_)"/>
    <numFmt numFmtId="191" formatCode="&quot;$&quot;#,##0.000"/>
    <numFmt numFmtId="192" formatCode="&quot;$&quot;#,##0.00000"/>
  </numFmts>
  <fonts count="88" x14ac:knownFonts="1">
    <font>
      <sz val="10"/>
      <name val="Arial"/>
    </font>
    <font>
      <sz val="11"/>
      <color theme="1"/>
      <name val="Calibri"/>
      <family val="2"/>
      <scheme val="minor"/>
    </font>
    <font>
      <b/>
      <sz val="10"/>
      <name val="Arial"/>
      <family val="2"/>
    </font>
    <font>
      <sz val="10"/>
      <name val="Arial"/>
      <family val="2"/>
    </font>
    <font>
      <b/>
      <sz val="10"/>
      <name val="Arial"/>
      <family val="2"/>
    </font>
    <font>
      <sz val="10"/>
      <name val="Arial"/>
      <family val="2"/>
    </font>
    <font>
      <sz val="10"/>
      <name val="Times New Roman"/>
      <family val="1"/>
    </font>
    <font>
      <b/>
      <sz val="16"/>
      <name val="Arial"/>
      <family val="2"/>
    </font>
    <font>
      <sz val="11"/>
      <name val="Arial"/>
      <family val="2"/>
    </font>
    <font>
      <sz val="10"/>
      <color indexed="10"/>
      <name val="Arial"/>
      <family val="2"/>
    </font>
    <font>
      <sz val="12"/>
      <name val="Arial"/>
      <family val="2"/>
    </font>
    <font>
      <sz val="8"/>
      <name val="Arial"/>
      <family val="2"/>
    </font>
    <font>
      <sz val="10"/>
      <color indexed="12"/>
      <name val="Arial"/>
      <family val="2"/>
    </font>
    <font>
      <b/>
      <sz val="10"/>
      <color indexed="10"/>
      <name val="Arial"/>
      <family val="2"/>
    </font>
    <font>
      <b/>
      <sz val="12"/>
      <name val="Times New Roman"/>
      <family val="1"/>
    </font>
    <font>
      <b/>
      <sz val="14"/>
      <name val="Arial"/>
      <family val="2"/>
    </font>
    <font>
      <sz val="12"/>
      <name val="Times New Roman"/>
      <family val="1"/>
    </font>
    <font>
      <b/>
      <sz val="12"/>
      <name val="Arial"/>
      <family val="2"/>
    </font>
    <font>
      <u/>
      <sz val="10"/>
      <color indexed="12"/>
      <name val="Arial"/>
      <family val="2"/>
    </font>
    <font>
      <sz val="14"/>
      <name val="Times New Roman"/>
      <family val="1"/>
    </font>
    <font>
      <sz val="16"/>
      <name val="Times New Roman"/>
      <family val="1"/>
    </font>
    <font>
      <b/>
      <sz val="16"/>
      <name val="Times New Roman"/>
      <family val="1"/>
    </font>
    <font>
      <b/>
      <sz val="11"/>
      <name val="Arial"/>
      <family val="2"/>
    </font>
    <font>
      <b/>
      <sz val="12"/>
      <color indexed="10"/>
      <name val="Arial"/>
      <family val="2"/>
    </font>
    <font>
      <sz val="14"/>
      <name val="Arial"/>
      <family val="2"/>
    </font>
    <font>
      <sz val="12"/>
      <color indexed="12"/>
      <name val="Arial"/>
      <family val="2"/>
    </font>
    <font>
      <b/>
      <sz val="8"/>
      <name val="Arial"/>
      <family val="2"/>
    </font>
    <font>
      <u/>
      <sz val="10"/>
      <name val="Arial"/>
      <family val="2"/>
    </font>
    <font>
      <u/>
      <sz val="12"/>
      <name val="Arial"/>
      <family val="2"/>
    </font>
    <font>
      <sz val="16"/>
      <color indexed="12"/>
      <name val="Times New Roman"/>
      <family val="1"/>
    </font>
    <font>
      <b/>
      <sz val="11"/>
      <name val="Times New Roman"/>
      <family val="1"/>
    </font>
    <font>
      <sz val="11"/>
      <name val="Times New Roman"/>
      <family val="1"/>
    </font>
    <font>
      <b/>
      <sz val="26"/>
      <name val="Times New Roman"/>
      <family val="1"/>
    </font>
    <font>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MS Sans Serif"/>
      <family val="2"/>
    </font>
    <font>
      <b/>
      <sz val="18"/>
      <color indexed="56"/>
      <name val="Cambria"/>
      <family val="2"/>
    </font>
    <font>
      <b/>
      <sz val="11"/>
      <color indexed="8"/>
      <name val="Calibri"/>
      <family val="2"/>
    </font>
    <font>
      <sz val="11"/>
      <color indexed="10"/>
      <name val="Calibri"/>
      <family val="2"/>
    </font>
    <font>
      <sz val="10"/>
      <color indexed="10"/>
      <name val="Arial"/>
      <family val="2"/>
    </font>
    <font>
      <sz val="9"/>
      <color indexed="20"/>
      <name val="Arial"/>
      <family val="2"/>
    </font>
    <font>
      <sz val="11"/>
      <color theme="1"/>
      <name val="Calibri"/>
      <family val="2"/>
      <scheme val="minor"/>
    </font>
    <font>
      <u/>
      <sz val="11"/>
      <color theme="10"/>
      <name val="Calibri"/>
      <family val="2"/>
      <scheme val="minor"/>
    </font>
    <font>
      <sz val="10"/>
      <color theme="0"/>
      <name val="Times New Roman"/>
      <family val="1"/>
    </font>
    <font>
      <sz val="9"/>
      <color indexed="81"/>
      <name val="Tahoma"/>
      <family val="2"/>
    </font>
    <font>
      <b/>
      <sz val="9"/>
      <color indexed="81"/>
      <name val="Tahoma"/>
      <family val="2"/>
    </font>
    <font>
      <sz val="10"/>
      <color rgb="FFFF0000"/>
      <name val="Arial"/>
      <family val="2"/>
    </font>
    <font>
      <sz val="12"/>
      <color rgb="FFFF0000"/>
      <name val="Arial"/>
      <family val="2"/>
    </font>
    <font>
      <sz val="14"/>
      <color indexed="10"/>
      <name val="Arial"/>
      <family val="2"/>
    </font>
    <font>
      <b/>
      <sz val="14"/>
      <color theme="0"/>
      <name val="Arial"/>
      <family val="2"/>
    </font>
    <font>
      <sz val="14"/>
      <color theme="0"/>
      <name val="Arial"/>
      <family val="2"/>
    </font>
    <font>
      <b/>
      <sz val="14"/>
      <color indexed="12"/>
      <name val="Arial"/>
      <family val="2"/>
    </font>
    <font>
      <sz val="14"/>
      <color indexed="12"/>
      <name val="Arial"/>
      <family val="2"/>
    </font>
    <font>
      <sz val="14"/>
      <color rgb="FF000000"/>
      <name val="Arial"/>
      <family val="2"/>
    </font>
    <font>
      <b/>
      <sz val="14"/>
      <color indexed="10"/>
      <name val="Arial"/>
      <family val="2"/>
    </font>
    <font>
      <b/>
      <u/>
      <sz val="14"/>
      <name val="Arial"/>
      <family val="2"/>
    </font>
    <font>
      <b/>
      <sz val="18"/>
      <name val="Arial"/>
      <family val="2"/>
    </font>
    <font>
      <b/>
      <u/>
      <sz val="18"/>
      <name val="Arial"/>
      <family val="2"/>
    </font>
    <font>
      <sz val="14"/>
      <color indexed="8"/>
      <name val="Arial"/>
      <family val="2"/>
    </font>
    <font>
      <b/>
      <sz val="13"/>
      <color theme="0"/>
      <name val="Arial"/>
      <family val="2"/>
    </font>
    <font>
      <sz val="13"/>
      <name val="Arial"/>
      <family val="2"/>
    </font>
    <font>
      <b/>
      <sz val="13"/>
      <name val="Arial"/>
      <family val="2"/>
    </font>
    <font>
      <b/>
      <i/>
      <sz val="13"/>
      <name val="Arial"/>
      <family val="2"/>
    </font>
    <font>
      <sz val="18"/>
      <name val="Arial"/>
      <family val="2"/>
    </font>
    <font>
      <sz val="13"/>
      <color theme="0"/>
      <name val="Arial"/>
      <family val="2"/>
    </font>
    <font>
      <sz val="13"/>
      <color theme="1"/>
      <name val="Arial"/>
      <family val="2"/>
    </font>
    <font>
      <u/>
      <sz val="13"/>
      <name val="Arial"/>
      <family val="2"/>
    </font>
    <font>
      <u val="singleAccounting"/>
      <sz val="13"/>
      <name val="Arial"/>
      <family val="2"/>
    </font>
    <font>
      <b/>
      <sz val="18"/>
      <name val="Times New Roman"/>
      <family val="1"/>
    </font>
    <font>
      <b/>
      <sz val="18"/>
      <color theme="0"/>
      <name val="Times New Roman"/>
      <family val="1"/>
    </font>
    <font>
      <b/>
      <sz val="14"/>
      <color rgb="FFFFFF00"/>
      <name val="Arial"/>
      <family val="2"/>
    </font>
    <font>
      <sz val="14"/>
      <color rgb="FFFF0000"/>
      <name val="Arial"/>
      <family val="2"/>
    </font>
    <font>
      <sz val="10"/>
      <color rgb="FF00B0F0"/>
      <name val="Arial"/>
      <family val="2"/>
    </font>
    <font>
      <sz val="14"/>
      <color rgb="FF00B0F0"/>
      <name val="Arial"/>
      <family val="2"/>
    </font>
    <font>
      <b/>
      <i/>
      <sz val="14"/>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5"/>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FFC0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right/>
      <top style="medium">
        <color theme="0"/>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bottom/>
      <diagonal/>
    </border>
  </borders>
  <cellStyleXfs count="123">
    <xf numFmtId="0" fontId="0" fillId="0" borderId="0"/>
    <xf numFmtId="0" fontId="3" fillId="0" borderId="0"/>
    <xf numFmtId="178" fontId="3" fillId="0" borderId="0">
      <alignment horizontal="right" wrapText="1"/>
    </xf>
    <xf numFmtId="179" fontId="3" fillId="0" borderId="0">
      <alignment horizontal="right" wrapText="1"/>
    </xf>
    <xf numFmtId="180" fontId="3" fillId="0" borderId="0">
      <alignment horizontal="right" wrapText="1"/>
    </xf>
    <xf numFmtId="181" fontId="3" fillId="0" borderId="0">
      <alignment horizontal="right" wrapText="1"/>
    </xf>
    <xf numFmtId="182" fontId="3" fillId="0" borderId="0">
      <alignment horizontal="right"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 applyNumberFormat="0" applyAlignment="0" applyProtection="0"/>
    <xf numFmtId="183" fontId="3" fillId="0" borderId="0"/>
    <xf numFmtId="0" fontId="38" fillId="21" borderId="2" applyNumberFormat="0" applyAlignment="0" applyProtection="0"/>
    <xf numFmtId="43" fontId="3"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18" fillId="0" borderId="0" applyNumberFormat="0" applyFill="0" applyBorder="0" applyAlignment="0" applyProtection="0">
      <alignment vertical="top"/>
      <protection locked="0"/>
    </xf>
    <xf numFmtId="0" fontId="55" fillId="0" borderId="0" applyNumberFormat="0" applyFill="0" applyBorder="0" applyAlignment="0" applyProtection="0"/>
    <xf numFmtId="0" fontId="44" fillId="7" borderId="1" applyNumberFormat="0" applyAlignment="0" applyProtection="0"/>
    <xf numFmtId="0" fontId="45" fillId="0" borderId="6" applyNumberFormat="0" applyFill="0" applyAlignment="0" applyProtection="0"/>
    <xf numFmtId="0" fontId="46" fillId="22" borderId="0" applyNumberFormat="0" applyBorder="0" applyAlignment="0" applyProtection="0"/>
    <xf numFmtId="0" fontId="3" fillId="0" borderId="0"/>
    <xf numFmtId="0" fontId="3" fillId="0" borderId="0"/>
    <xf numFmtId="0" fontId="54" fillId="0" borderId="0"/>
    <xf numFmtId="0" fontId="3" fillId="0" borderId="0"/>
    <xf numFmtId="0" fontId="3" fillId="0" borderId="0"/>
    <xf numFmtId="0" fontId="54" fillId="0" borderId="0"/>
    <xf numFmtId="0" fontId="3" fillId="0" borderId="0"/>
    <xf numFmtId="0" fontId="3" fillId="0" borderId="0"/>
    <xf numFmtId="0" fontId="3" fillId="0" borderId="0"/>
    <xf numFmtId="0" fontId="54" fillId="0" borderId="0"/>
    <xf numFmtId="0" fontId="5"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47"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3" fillId="0" borderId="0" applyFont="0" applyFill="0" applyBorder="0" applyAlignment="0" applyProtection="0"/>
    <xf numFmtId="0" fontId="48" fillId="0" borderId="0" applyNumberFormat="0" applyFont="0" applyFill="0" applyBorder="0" applyAlignment="0" applyProtection="0">
      <alignment horizontal="left"/>
    </xf>
    <xf numFmtId="0" fontId="53" fillId="24" borderId="9">
      <protection locked="0"/>
    </xf>
    <xf numFmtId="177" fontId="3" fillId="0" borderId="0" applyFill="0" applyBorder="0" applyAlignment="0" applyProtection="0">
      <alignment wrapText="1"/>
    </xf>
    <xf numFmtId="177" fontId="3" fillId="0" borderId="0" applyFill="0" applyBorder="0" applyAlignment="0" applyProtection="0">
      <alignment wrapText="1"/>
    </xf>
    <xf numFmtId="0" fontId="4" fillId="0" borderId="0" applyNumberFormat="0" applyFill="0" applyBorder="0">
      <alignment horizontal="center" wrapText="1"/>
    </xf>
    <xf numFmtId="0" fontId="4" fillId="0" borderId="0" applyNumberFormat="0" applyFill="0" applyBorder="0">
      <alignment horizontal="center" wrapText="1"/>
    </xf>
    <xf numFmtId="2" fontId="11" fillId="0" borderId="0"/>
    <xf numFmtId="0" fontId="49" fillId="0" borderId="0" applyNumberForma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3"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 fillId="0" borderId="0"/>
    <xf numFmtId="0" fontId="3" fillId="0" borderId="0">
      <alignment wrapText="1"/>
    </xf>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178" fontId="3" fillId="0" borderId="0">
      <alignment horizontal="right" wrapText="1"/>
    </xf>
    <xf numFmtId="179" fontId="3" fillId="0" borderId="0">
      <alignment horizontal="right" wrapText="1"/>
    </xf>
    <xf numFmtId="180" fontId="3" fillId="0" borderId="0">
      <alignment horizontal="right" wrapText="1"/>
    </xf>
    <xf numFmtId="181" fontId="3" fillId="0" borderId="0">
      <alignment horizontal="right" wrapText="1"/>
    </xf>
    <xf numFmtId="182" fontId="3" fillId="0" borderId="0">
      <alignment horizontal="right" wrapText="1"/>
    </xf>
    <xf numFmtId="183" fontId="3" fillId="0" borderId="0"/>
    <xf numFmtId="43" fontId="3" fillId="0" borderId="0" applyFont="0" applyFill="0" applyBorder="0" applyAlignment="0" applyProtection="0"/>
    <xf numFmtId="44" fontId="3" fillId="0" borderId="0" applyFont="0" applyFill="0" applyBorder="0" applyAlignment="0" applyProtection="0"/>
    <xf numFmtId="0" fontId="3" fillId="23" borderId="7" applyNumberFormat="0" applyFont="0" applyAlignment="0" applyProtection="0"/>
    <xf numFmtId="0" fontId="3" fillId="23"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48" fillId="0" borderId="0"/>
    <xf numFmtId="0" fontId="1" fillId="0" borderId="0"/>
    <xf numFmtId="0" fontId="1" fillId="0" borderId="0" applyNumberFormat="0" applyFont="0" applyFill="0" applyBorder="0" applyAlignment="0" applyProtection="0">
      <alignment vertical="top"/>
      <protection locked="0"/>
    </xf>
    <xf numFmtId="0" fontId="1" fillId="0" borderId="0"/>
    <xf numFmtId="0" fontId="2" fillId="0" borderId="0" applyNumberFormat="0" applyFill="0" applyBorder="0">
      <alignment horizontal="center" wrapText="1"/>
    </xf>
    <xf numFmtId="0" fontId="2" fillId="0" borderId="0" applyNumberFormat="0" applyFill="0" applyBorder="0">
      <alignment horizontal="center" wrapText="1"/>
    </xf>
    <xf numFmtId="0" fontId="3" fillId="0" borderId="0"/>
    <xf numFmtId="44" fontId="3" fillId="0" borderId="0" applyFont="0" applyFill="0" applyBorder="0" applyAlignment="0" applyProtection="0"/>
  </cellStyleXfs>
  <cellXfs count="1152">
    <xf numFmtId="0" fontId="0" fillId="0" borderId="0" xfId="0"/>
    <xf numFmtId="0" fontId="9" fillId="0" borderId="0" xfId="0" applyFont="1"/>
    <xf numFmtId="0" fontId="10" fillId="0" borderId="0" xfId="0" applyFont="1"/>
    <xf numFmtId="0" fontId="10" fillId="0" borderId="0" xfId="0" quotePrefix="1" applyFont="1" applyAlignment="1">
      <alignment horizontal="center"/>
    </xf>
    <xf numFmtId="0" fontId="0" fillId="0" borderId="0" xfId="0" applyFill="1"/>
    <xf numFmtId="0" fontId="10" fillId="0" borderId="0" xfId="0" applyFont="1" applyFill="1"/>
    <xf numFmtId="165" fontId="0" fillId="0" borderId="0" xfId="0" applyNumberFormat="1"/>
    <xf numFmtId="0" fontId="12" fillId="0" borderId="0" xfId="0" applyFont="1"/>
    <xf numFmtId="0" fontId="13" fillId="0" borderId="0" xfId="0" applyFont="1" applyFill="1" applyBorder="1" applyAlignment="1">
      <alignment horizontal="center"/>
    </xf>
    <xf numFmtId="0" fontId="13" fillId="0" borderId="0" xfId="0" applyFont="1" applyAlignment="1">
      <alignment horizontal="center"/>
    </xf>
    <xf numFmtId="0" fontId="4" fillId="0" borderId="0" xfId="0" applyFont="1"/>
    <xf numFmtId="0" fontId="16" fillId="0" borderId="0" xfId="0" applyFont="1"/>
    <xf numFmtId="0" fontId="7" fillId="0" borderId="0" xfId="0" applyFont="1"/>
    <xf numFmtId="0" fontId="0" fillId="0" borderId="0" xfId="0" applyBorder="1"/>
    <xf numFmtId="42" fontId="0" fillId="0" borderId="0" xfId="0" applyNumberFormat="1"/>
    <xf numFmtId="0" fontId="0" fillId="0" borderId="0" xfId="0" applyFill="1" applyBorder="1"/>
    <xf numFmtId="0" fontId="9" fillId="0" borderId="0" xfId="0" applyFont="1" applyBorder="1"/>
    <xf numFmtId="0" fontId="0" fillId="27" borderId="0" xfId="0" applyFill="1" applyBorder="1"/>
    <xf numFmtId="0" fontId="7" fillId="0" borderId="0" xfId="0" applyFont="1" applyAlignment="1"/>
    <xf numFmtId="0" fontId="17" fillId="0" borderId="0" xfId="0" applyFont="1"/>
    <xf numFmtId="166" fontId="0" fillId="0" borderId="0" xfId="0" applyNumberFormat="1" applyBorder="1"/>
    <xf numFmtId="0" fontId="17" fillId="0" borderId="0" xfId="0" applyFont="1" applyFill="1" applyBorder="1"/>
    <xf numFmtId="0" fontId="10" fillId="0" borderId="0" xfId="0" applyFont="1" applyFill="1" applyBorder="1"/>
    <xf numFmtId="0" fontId="4" fillId="0" borderId="0" xfId="0" applyFont="1" applyFill="1" applyAlignment="1">
      <alignment horizontal="center"/>
    </xf>
    <xf numFmtId="0" fontId="5" fillId="25"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Border="1" applyAlignment="1">
      <alignment horizontal="center"/>
    </xf>
    <xf numFmtId="0" fontId="0" fillId="25" borderId="0" xfId="0" applyFill="1" applyBorder="1" applyAlignment="1">
      <alignment horizontal="center"/>
    </xf>
    <xf numFmtId="0" fontId="0" fillId="0" borderId="0" xfId="0" applyBorder="1" applyAlignment="1">
      <alignment horizontal="center"/>
    </xf>
    <xf numFmtId="0" fontId="0" fillId="26" borderId="0" xfId="0" applyFill="1" applyBorder="1" applyAlignment="1">
      <alignment horizontal="center"/>
    </xf>
    <xf numFmtId="0" fontId="9" fillId="0" borderId="0" xfId="0" applyFont="1" applyBorder="1" applyAlignment="1">
      <alignment horizontal="center"/>
    </xf>
    <xf numFmtId="0" fontId="9" fillId="0" borderId="0" xfId="0" applyFont="1" applyFill="1" applyBorder="1" applyAlignment="1">
      <alignment horizontal="center"/>
    </xf>
    <xf numFmtId="0" fontId="0" fillId="27" borderId="0" xfId="0" applyFill="1" applyBorder="1" applyAlignment="1">
      <alignment horizontal="center"/>
    </xf>
    <xf numFmtId="0" fontId="12" fillId="0" borderId="0" xfId="0" applyFont="1" applyBorder="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0" fontId="10" fillId="0" borderId="0" xfId="0" quotePrefix="1" applyFont="1" applyFill="1" applyAlignment="1">
      <alignment horizontal="center"/>
    </xf>
    <xf numFmtId="169" fontId="0" fillId="0" borderId="0" xfId="0" applyNumberFormat="1"/>
    <xf numFmtId="0" fontId="3" fillId="0" borderId="0" xfId="0" applyFont="1" applyBorder="1"/>
    <xf numFmtId="0" fontId="2" fillId="0" borderId="0" xfId="0" applyFont="1" applyBorder="1" applyAlignment="1">
      <alignment horizontal="left"/>
    </xf>
    <xf numFmtId="166" fontId="3" fillId="0" borderId="0" xfId="0" applyNumberFormat="1" applyFont="1" applyBorder="1" applyAlignment="1">
      <alignment horizontal="right"/>
    </xf>
    <xf numFmtId="0" fontId="3" fillId="0" borderId="0" xfId="0" applyFont="1"/>
    <xf numFmtId="169" fontId="3" fillId="0" borderId="0" xfId="41" applyNumberFormat="1" applyFont="1" applyBorder="1"/>
    <xf numFmtId="166" fontId="3" fillId="0" borderId="0" xfId="71" applyNumberFormat="1" applyFont="1" applyBorder="1"/>
    <xf numFmtId="166" fontId="3" fillId="0" borderId="0" xfId="0" applyNumberFormat="1" applyFont="1" applyBorder="1"/>
    <xf numFmtId="0" fontId="26" fillId="0" borderId="0" xfId="0" applyFont="1" applyBorder="1" applyAlignment="1">
      <alignment horizontal="left"/>
    </xf>
    <xf numFmtId="169" fontId="27" fillId="0" borderId="0" xfId="41" applyNumberFormat="1" applyFont="1" applyBorder="1"/>
    <xf numFmtId="169" fontId="0" fillId="0" borderId="0" xfId="0" applyNumberFormat="1" applyBorder="1"/>
    <xf numFmtId="166" fontId="0" fillId="27" borderId="0" xfId="0" applyNumberFormat="1" applyFill="1" applyBorder="1"/>
    <xf numFmtId="165" fontId="0" fillId="0" borderId="0" xfId="0" applyNumberFormat="1" applyBorder="1"/>
    <xf numFmtId="166" fontId="0" fillId="28" borderId="0" xfId="0" applyNumberFormat="1" applyFill="1" applyBorder="1"/>
    <xf numFmtId="0" fontId="0" fillId="28" borderId="0" xfId="0" applyFill="1" applyBorder="1"/>
    <xf numFmtId="0" fontId="0" fillId="0" borderId="11" xfId="0" applyBorder="1" applyAlignment="1">
      <alignment horizontal="center"/>
    </xf>
    <xf numFmtId="166" fontId="0" fillId="0" borderId="0" xfId="0" applyNumberFormat="1"/>
    <xf numFmtId="0" fontId="0" fillId="0" borderId="11" xfId="0" applyFill="1" applyBorder="1"/>
    <xf numFmtId="165" fontId="0" fillId="0" borderId="11" xfId="0" applyNumberFormat="1" applyBorder="1"/>
    <xf numFmtId="166" fontId="0" fillId="0" borderId="11" xfId="0" applyNumberFormat="1" applyBorder="1"/>
    <xf numFmtId="0" fontId="16" fillId="0" borderId="0" xfId="0" applyFont="1" applyAlignment="1">
      <alignment horizontal="left" wrapText="1"/>
    </xf>
    <xf numFmtId="0" fontId="8" fillId="0" borderId="0" xfId="0" applyFont="1"/>
    <xf numFmtId="0" fontId="8" fillId="0" borderId="0" xfId="0" applyFont="1" applyAlignment="1">
      <alignment horizontal="center"/>
    </xf>
    <xf numFmtId="169" fontId="22" fillId="0" borderId="0" xfId="0" applyNumberFormat="1" applyFont="1" applyAlignment="1"/>
    <xf numFmtId="0" fontId="6" fillId="0" borderId="0" xfId="0" applyFont="1"/>
    <xf numFmtId="3" fontId="6" fillId="0" borderId="0" xfId="0" applyNumberFormat="1" applyFont="1" applyFill="1" applyAlignment="1">
      <alignment horizontal="left" vertical="top"/>
    </xf>
    <xf numFmtId="3" fontId="6" fillId="0" borderId="0" xfId="0" applyNumberFormat="1" applyFont="1"/>
    <xf numFmtId="0" fontId="6" fillId="0" borderId="0" xfId="0" applyFont="1" applyFill="1" applyAlignment="1">
      <alignment horizontal="center"/>
    </xf>
    <xf numFmtId="10" fontId="6" fillId="0" borderId="0" xfId="0" applyNumberFormat="1" applyFont="1"/>
    <xf numFmtId="0" fontId="31" fillId="0" borderId="0" xfId="0" applyFont="1"/>
    <xf numFmtId="0" fontId="30" fillId="0" borderId="0" xfId="0" applyFont="1" applyFill="1"/>
    <xf numFmtId="3" fontId="0" fillId="0" borderId="0" xfId="0" applyNumberFormat="1" applyFill="1" applyAlignment="1">
      <alignment horizontal="center" vertical="center" wrapText="1"/>
    </xf>
    <xf numFmtId="3" fontId="0" fillId="0" borderId="0" xfId="0" applyNumberFormat="1" applyFill="1" applyAlignment="1">
      <alignment horizontal="left" vertical="top"/>
    </xf>
    <xf numFmtId="3" fontId="0" fillId="0" borderId="0" xfId="0" applyNumberFormat="1"/>
    <xf numFmtId="169" fontId="0" fillId="0" borderId="0" xfId="0" applyNumberFormat="1" applyFill="1"/>
    <xf numFmtId="10" fontId="0" fillId="0" borderId="0" xfId="0" applyNumberFormat="1" applyFill="1"/>
    <xf numFmtId="10" fontId="0" fillId="0" borderId="0" xfId="0" applyNumberFormat="1" applyFill="1" applyAlignment="1"/>
    <xf numFmtId="10" fontId="3" fillId="0" borderId="0" xfId="0" applyNumberFormat="1" applyFont="1" applyBorder="1"/>
    <xf numFmtId="42" fontId="3" fillId="0" borderId="0" xfId="41" applyNumberFormat="1" applyFont="1" applyBorder="1"/>
    <xf numFmtId="169" fontId="3" fillId="0" borderId="0" xfId="0" applyNumberFormat="1" applyFont="1"/>
    <xf numFmtId="10" fontId="0" fillId="0" borderId="0" xfId="0" applyNumberFormat="1"/>
    <xf numFmtId="0" fontId="10" fillId="0" borderId="0" xfId="0" applyFont="1" applyAlignment="1">
      <alignment horizontal="center"/>
    </xf>
    <xf numFmtId="0" fontId="17" fillId="0" borderId="0" xfId="0" applyFont="1" applyBorder="1" applyAlignment="1"/>
    <xf numFmtId="0" fontId="23" fillId="0" borderId="0" xfId="0" applyFont="1" applyFill="1" applyBorder="1" applyAlignment="1">
      <alignment horizontal="center"/>
    </xf>
    <xf numFmtId="0" fontId="23" fillId="0" borderId="0" xfId="0" applyFont="1" applyAlignment="1">
      <alignment horizontal="center"/>
    </xf>
    <xf numFmtId="0" fontId="33" fillId="0" borderId="0" xfId="0" applyFont="1"/>
    <xf numFmtId="0" fontId="10" fillId="0" borderId="0" xfId="0" applyFont="1" applyBorder="1"/>
    <xf numFmtId="0" fontId="25" fillId="0" borderId="0" xfId="0" applyFont="1"/>
    <xf numFmtId="173" fontId="0" fillId="0" borderId="0" xfId="0" applyNumberFormat="1"/>
    <xf numFmtId="0" fontId="10" fillId="0" borderId="0" xfId="0" applyFont="1" applyAlignment="1">
      <alignment horizontal="centerContinuous"/>
    </xf>
    <xf numFmtId="0" fontId="16" fillId="0" borderId="0" xfId="0" applyFont="1" applyAlignment="1">
      <alignment horizontal="left"/>
    </xf>
    <xf numFmtId="42" fontId="0" fillId="0" borderId="0" xfId="0" applyNumberFormat="1" applyFill="1"/>
    <xf numFmtId="164" fontId="31" fillId="0" borderId="0" xfId="0" applyNumberFormat="1" applyFont="1"/>
    <xf numFmtId="0" fontId="52" fillId="0" borderId="0" xfId="0" applyFont="1"/>
    <xf numFmtId="0" fontId="3" fillId="25"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xf numFmtId="9" fontId="6" fillId="0" borderId="0" xfId="0" applyNumberFormat="1" applyFont="1" applyFill="1" applyAlignment="1">
      <alignment horizontal="center"/>
    </xf>
    <xf numFmtId="9" fontId="6" fillId="0" borderId="0" xfId="0" applyNumberFormat="1" applyFont="1" applyProtection="1">
      <protection hidden="1"/>
    </xf>
    <xf numFmtId="9" fontId="6" fillId="0" borderId="0" xfId="0" applyNumberFormat="1" applyFont="1" applyFill="1" applyProtection="1">
      <protection hidden="1"/>
    </xf>
    <xf numFmtId="9" fontId="6" fillId="0" borderId="0" xfId="0" applyNumberFormat="1" applyFont="1"/>
    <xf numFmtId="9" fontId="6" fillId="0" borderId="0" xfId="0" applyNumberFormat="1" applyFont="1" applyFill="1"/>
    <xf numFmtId="9" fontId="6" fillId="0" borderId="0" xfId="0" applyNumberFormat="1" applyFont="1" applyBorder="1"/>
    <xf numFmtId="9" fontId="6" fillId="0" borderId="0" xfId="71" applyNumberFormat="1" applyFont="1" applyBorder="1"/>
    <xf numFmtId="0" fontId="4" fillId="0" borderId="0" xfId="0" applyFont="1" applyAlignment="1">
      <alignment horizontal="center"/>
    </xf>
    <xf numFmtId="0" fontId="10" fillId="0" borderId="0" xfId="0" applyFont="1" applyAlignment="1">
      <alignment horizontal="right"/>
    </xf>
    <xf numFmtId="5" fontId="10" fillId="0" borderId="0" xfId="0" applyNumberFormat="1" applyFont="1" applyFill="1"/>
    <xf numFmtId="5" fontId="28" fillId="0" borderId="0" xfId="0" applyNumberFormat="1" applyFont="1" applyFill="1"/>
    <xf numFmtId="9" fontId="56" fillId="0" borderId="0" xfId="0" applyNumberFormat="1" applyFont="1" applyProtection="1">
      <protection locked="0" hidden="1"/>
    </xf>
    <xf numFmtId="9" fontId="56" fillId="0" borderId="0" xfId="0" applyNumberFormat="1" applyFont="1" applyProtection="1">
      <protection hidden="1"/>
    </xf>
    <xf numFmtId="9" fontId="56" fillId="0" borderId="0" xfId="0" applyNumberFormat="1" applyFont="1" applyFill="1" applyProtection="1">
      <protection hidden="1"/>
    </xf>
    <xf numFmtId="0" fontId="0" fillId="0" borderId="14" xfId="0" applyBorder="1"/>
    <xf numFmtId="0" fontId="0" fillId="0" borderId="0" xfId="0" applyAlignment="1"/>
    <xf numFmtId="0" fontId="10" fillId="0" borderId="0" xfId="0" applyFont="1" applyAlignment="1"/>
    <xf numFmtId="0" fontId="10" fillId="0" borderId="0" xfId="0" applyFont="1" applyFill="1" applyAlignment="1"/>
    <xf numFmtId="0" fontId="10" fillId="0" borderId="11" xfId="0" applyFont="1" applyBorder="1"/>
    <xf numFmtId="165" fontId="2" fillId="27" borderId="0" xfId="0" applyNumberFormat="1" applyFont="1" applyFill="1" applyBorder="1"/>
    <xf numFmtId="165" fontId="2" fillId="28" borderId="0" xfId="0" applyNumberFormat="1" applyFont="1" applyFill="1" applyBorder="1"/>
    <xf numFmtId="9" fontId="6" fillId="0" borderId="0" xfId="0" applyNumberFormat="1" applyFont="1" applyProtection="1">
      <protection locked="0" hidden="1"/>
    </xf>
    <xf numFmtId="9" fontId="6" fillId="0" borderId="0" xfId="0" applyNumberFormat="1" applyFont="1" applyFill="1" applyAlignment="1" applyProtection="1">
      <alignment horizontal="center"/>
      <protection locked="0" hidden="1"/>
    </xf>
    <xf numFmtId="0" fontId="9" fillId="0" borderId="0" xfId="0" applyFont="1" applyAlignment="1">
      <alignment horizontal="right"/>
    </xf>
    <xf numFmtId="0" fontId="3" fillId="0" borderId="0" xfId="58" applyFill="1"/>
    <xf numFmtId="0" fontId="3" fillId="0" borderId="0" xfId="58" applyAlignment="1"/>
    <xf numFmtId="10" fontId="3" fillId="0" borderId="0" xfId="58" applyNumberFormat="1"/>
    <xf numFmtId="0" fontId="10" fillId="0" borderId="0" xfId="58" applyFont="1" applyAlignment="1">
      <alignment horizontal="right"/>
    </xf>
    <xf numFmtId="5" fontId="10" fillId="0" borderId="0" xfId="58" applyNumberFormat="1" applyFont="1" applyFill="1"/>
    <xf numFmtId="0" fontId="10" fillId="0" borderId="0" xfId="58" applyFont="1" applyFill="1"/>
    <xf numFmtId="0" fontId="10" fillId="0" borderId="0" xfId="58" applyFont="1" applyAlignment="1">
      <alignment horizontal="center"/>
    </xf>
    <xf numFmtId="0" fontId="3" fillId="0" borderId="0" xfId="58"/>
    <xf numFmtId="0" fontId="6" fillId="0" borderId="0" xfId="58" applyFont="1"/>
    <xf numFmtId="2" fontId="6" fillId="0" borderId="0" xfId="58" applyNumberFormat="1" applyFont="1"/>
    <xf numFmtId="0" fontId="14" fillId="0" borderId="0" xfId="58" applyFont="1"/>
    <xf numFmtId="3" fontId="16" fillId="0" borderId="0" xfId="58" applyNumberFormat="1" applyFont="1" applyFill="1" applyAlignment="1">
      <alignment horizontal="center"/>
    </xf>
    <xf numFmtId="0" fontId="16" fillId="0" borderId="0" xfId="58" applyFont="1" applyBorder="1" applyAlignment="1">
      <alignment horizontal="center"/>
    </xf>
    <xf numFmtId="0" fontId="16" fillId="0" borderId="0" xfId="58" applyFont="1"/>
    <xf numFmtId="0" fontId="20" fillId="0" borderId="0" xfId="58" applyFont="1"/>
    <xf numFmtId="42" fontId="6" fillId="0" borderId="0" xfId="58" applyNumberFormat="1" applyFont="1"/>
    <xf numFmtId="0" fontId="6" fillId="0" borderId="0" xfId="58" applyFont="1" applyFill="1"/>
    <xf numFmtId="0" fontId="20" fillId="0" borderId="0" xfId="58" quotePrefix="1" applyFont="1" applyAlignment="1">
      <alignment horizontal="center"/>
    </xf>
    <xf numFmtId="0" fontId="21" fillId="0" borderId="0" xfId="58" applyFont="1" applyFill="1"/>
    <xf numFmtId="0" fontId="20" fillId="0" borderId="0" xfId="58" applyFont="1" applyFill="1" applyAlignment="1">
      <alignment horizontal="center"/>
    </xf>
    <xf numFmtId="0" fontId="20" fillId="0" borderId="0" xfId="58" applyFont="1" applyAlignment="1">
      <alignment horizontal="center"/>
    </xf>
    <xf numFmtId="0" fontId="20" fillId="0" borderId="0" xfId="58" applyFont="1" applyAlignment="1">
      <alignment horizontal="left"/>
    </xf>
    <xf numFmtId="42" fontId="20" fillId="0" borderId="0" xfId="58" applyNumberFormat="1" applyFont="1"/>
    <xf numFmtId="0" fontId="6" fillId="0" borderId="0" xfId="58" quotePrefix="1" applyFont="1" applyAlignment="1">
      <alignment horizontal="center"/>
    </xf>
    <xf numFmtId="0" fontId="6" fillId="0" borderId="0" xfId="58" applyFont="1" applyFill="1" applyBorder="1"/>
    <xf numFmtId="0" fontId="6" fillId="0" borderId="0" xfId="58" applyFont="1" applyFill="1" applyAlignment="1">
      <alignment horizontal="center"/>
    </xf>
    <xf numFmtId="0" fontId="6" fillId="0" borderId="0" xfId="58" applyFont="1" applyAlignment="1">
      <alignment horizontal="center"/>
    </xf>
    <xf numFmtId="0" fontId="6" fillId="0" borderId="0" xfId="58" applyFont="1" applyFill="1" applyBorder="1" applyAlignment="1"/>
    <xf numFmtId="44" fontId="12" fillId="0" borderId="0" xfId="0" applyNumberFormat="1" applyFont="1"/>
    <xf numFmtId="169" fontId="2" fillId="0" borderId="0" xfId="0" applyNumberFormat="1" applyFont="1" applyAlignment="1"/>
    <xf numFmtId="0" fontId="3" fillId="0" borderId="0" xfId="0" applyFont="1" applyAlignment="1">
      <alignment horizontal="left" wrapText="1"/>
    </xf>
    <xf numFmtId="0" fontId="2" fillId="24" borderId="0" xfId="0" applyFont="1" applyFill="1"/>
    <xf numFmtId="0" fontId="2" fillId="0" borderId="0" xfId="0" applyFont="1"/>
    <xf numFmtId="170" fontId="0" fillId="0" borderId="0" xfId="0" applyNumberFormat="1"/>
    <xf numFmtId="0" fontId="8" fillId="0" borderId="0" xfId="0" applyFont="1" applyFill="1"/>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3" fontId="3" fillId="0" borderId="0" xfId="0" applyNumberFormat="1" applyFont="1"/>
    <xf numFmtId="3" fontId="6" fillId="0" borderId="0" xfId="0" applyNumberFormat="1" applyFont="1" applyFill="1" applyBorder="1" applyAlignment="1">
      <alignment horizontal="center"/>
    </xf>
    <xf numFmtId="0" fontId="3" fillId="0" borderId="0" xfId="57"/>
    <xf numFmtId="3" fontId="16" fillId="0" borderId="0" xfId="0" applyNumberFormat="1" applyFont="1" applyAlignment="1">
      <alignment horizontal="center" vertical="center" wrapText="1"/>
    </xf>
    <xf numFmtId="3" fontId="16" fillId="0" borderId="0" xfId="0" applyNumberFormat="1" applyFont="1"/>
    <xf numFmtId="3" fontId="14" fillId="29" borderId="0" xfId="0" applyNumberFormat="1" applyFont="1" applyFill="1" applyAlignment="1">
      <alignment horizontal="right"/>
    </xf>
    <xf numFmtId="0" fontId="14" fillId="29" borderId="0" xfId="0" applyFont="1" applyFill="1" applyBorder="1" applyAlignment="1">
      <alignment horizontal="right"/>
    </xf>
    <xf numFmtId="0" fontId="14" fillId="0" borderId="0" xfId="0" applyFont="1" applyBorder="1" applyAlignment="1">
      <alignment horizontal="left"/>
    </xf>
    <xf numFmtId="0" fontId="14" fillId="0" borderId="0" xfId="0" applyFont="1" applyBorder="1" applyAlignment="1">
      <alignment horizontal="right"/>
    </xf>
    <xf numFmtId="0" fontId="16" fillId="0" borderId="0" xfId="0" applyNumberFormat="1" applyFont="1" applyAlignment="1">
      <alignment horizontal="center"/>
    </xf>
    <xf numFmtId="0" fontId="3" fillId="0" borderId="0" xfId="57" applyAlignment="1">
      <alignment horizontal="center"/>
    </xf>
    <xf numFmtId="0" fontId="3" fillId="0" borderId="0" xfId="0" applyFont="1" applyBorder="1" applyAlignment="1">
      <alignment horizontal="left"/>
    </xf>
    <xf numFmtId="43" fontId="10" fillId="0" borderId="0" xfId="35" applyFont="1"/>
    <xf numFmtId="43" fontId="9" fillId="0" borderId="0" xfId="35" applyFont="1"/>
    <xf numFmtId="43" fontId="0" fillId="0" borderId="0" xfId="35" applyFont="1"/>
    <xf numFmtId="44" fontId="0" fillId="0" borderId="0" xfId="0" applyNumberFormat="1"/>
    <xf numFmtId="10" fontId="10" fillId="0" borderId="0" xfId="35" applyNumberFormat="1" applyFont="1"/>
    <xf numFmtId="10" fontId="59" fillId="0" borderId="0" xfId="35" applyNumberFormat="1" applyFont="1"/>
    <xf numFmtId="43" fontId="59" fillId="0" borderId="0" xfId="35" applyFont="1"/>
    <xf numFmtId="44" fontId="59" fillId="0" borderId="0" xfId="0" applyNumberFormat="1" applyFont="1"/>
    <xf numFmtId="10" fontId="60" fillId="0" borderId="0" xfId="0" applyNumberFormat="1" applyFont="1"/>
    <xf numFmtId="165" fontId="29" fillId="0" borderId="0" xfId="42" applyNumberFormat="1" applyFont="1" applyFill="1" applyBorder="1" applyAlignment="1">
      <alignment horizontal="center"/>
    </xf>
    <xf numFmtId="3" fontId="10" fillId="0" borderId="0" xfId="35" applyNumberFormat="1" applyFont="1"/>
    <xf numFmtId="3" fontId="0" fillId="0" borderId="0" xfId="35" applyNumberFormat="1" applyFont="1"/>
    <xf numFmtId="0" fontId="19" fillId="0" borderId="0" xfId="58" applyFont="1"/>
    <xf numFmtId="10" fontId="19" fillId="0" borderId="0" xfId="58" applyNumberFormat="1" applyFont="1"/>
    <xf numFmtId="0" fontId="19" fillId="0" borderId="0" xfId="58" applyFont="1" applyAlignment="1">
      <alignment wrapText="1"/>
    </xf>
    <xf numFmtId="44" fontId="19" fillId="0" borderId="0" xfId="58" applyNumberFormat="1" applyFont="1"/>
    <xf numFmtId="0" fontId="0" fillId="0" borderId="0" xfId="0" applyAlignment="1">
      <alignment wrapText="1"/>
    </xf>
    <xf numFmtId="0" fontId="17" fillId="0" borderId="0" xfId="0" applyFont="1" applyAlignment="1">
      <alignment horizontal="center"/>
    </xf>
    <xf numFmtId="0" fontId="17" fillId="0" borderId="0" xfId="0" applyFont="1" applyBorder="1" applyAlignment="1">
      <alignment horizontal="center"/>
    </xf>
    <xf numFmtId="165" fontId="10" fillId="0" borderId="0" xfId="0" applyNumberFormat="1" applyFont="1"/>
    <xf numFmtId="0" fontId="0" fillId="0" borderId="0" xfId="0" applyAlignment="1">
      <alignment wrapText="1"/>
    </xf>
    <xf numFmtId="0" fontId="10" fillId="31" borderId="0" xfId="0" applyFont="1" applyFill="1"/>
    <xf numFmtId="5" fontId="10" fillId="31" borderId="0" xfId="0" applyNumberFormat="1" applyFont="1" applyFill="1"/>
    <xf numFmtId="0" fontId="10" fillId="31" borderId="0" xfId="0" applyFont="1" applyFill="1" applyAlignment="1">
      <alignment horizontal="center"/>
    </xf>
    <xf numFmtId="42" fontId="9" fillId="0" borderId="0" xfId="0" applyNumberFormat="1" applyFont="1"/>
    <xf numFmtId="2" fontId="0" fillId="0" borderId="0" xfId="0" applyNumberFormat="1"/>
    <xf numFmtId="4" fontId="0" fillId="0" borderId="0" xfId="0" applyNumberFormat="1"/>
    <xf numFmtId="42" fontId="3" fillId="0" borderId="0" xfId="0" applyNumberFormat="1" applyFont="1"/>
    <xf numFmtId="3" fontId="3" fillId="0" borderId="0" xfId="35" applyNumberFormat="1" applyFont="1"/>
    <xf numFmtId="0" fontId="2" fillId="0" borderId="0" xfId="0" applyFont="1" applyAlignment="1">
      <alignment horizontal="center"/>
    </xf>
    <xf numFmtId="10" fontId="3" fillId="31" borderId="0" xfId="0" applyNumberFormat="1" applyFont="1" applyFill="1"/>
    <xf numFmtId="10" fontId="0" fillId="31" borderId="0" xfId="0" applyNumberFormat="1" applyFill="1"/>
    <xf numFmtId="0" fontId="0" fillId="31" borderId="0" xfId="0" applyFill="1"/>
    <xf numFmtId="42" fontId="0" fillId="31" borderId="0" xfId="0" applyNumberFormat="1" applyFill="1"/>
    <xf numFmtId="44" fontId="0" fillId="31" borderId="0" xfId="0" applyNumberFormat="1" applyFill="1"/>
    <xf numFmtId="3" fontId="17" fillId="0" borderId="0" xfId="35" applyNumberFormat="1" applyFont="1"/>
    <xf numFmtId="188" fontId="9" fillId="0" borderId="0" xfId="35" applyNumberFormat="1" applyFont="1"/>
    <xf numFmtId="43" fontId="3" fillId="0" borderId="0" xfId="35" applyFont="1"/>
    <xf numFmtId="43" fontId="13" fillId="0" borderId="0" xfId="35" applyFont="1"/>
    <xf numFmtId="44" fontId="3" fillId="0" borderId="0" xfId="0" applyNumberFormat="1" applyFont="1"/>
    <xf numFmtId="171" fontId="0" fillId="0" borderId="0" xfId="0" applyNumberFormat="1"/>
    <xf numFmtId="43" fontId="59" fillId="0" borderId="0" xfId="0" applyNumberFormat="1" applyFont="1"/>
    <xf numFmtId="43" fontId="0" fillId="0" borderId="0" xfId="0" applyNumberFormat="1"/>
    <xf numFmtId="189" fontId="0" fillId="0" borderId="0" xfId="0" applyNumberFormat="1"/>
    <xf numFmtId="186" fontId="0" fillId="0" borderId="0" xfId="0" applyNumberFormat="1"/>
    <xf numFmtId="174" fontId="0" fillId="31" borderId="0" xfId="0" applyNumberFormat="1" applyFill="1"/>
    <xf numFmtId="165" fontId="10" fillId="31" borderId="0" xfId="0" applyNumberFormat="1" applyFont="1" applyFill="1" applyAlignment="1">
      <alignment horizontal="center"/>
    </xf>
    <xf numFmtId="0" fontId="17" fillId="0" borderId="0" xfId="0" applyFont="1" applyBorder="1" applyAlignment="1">
      <alignment horizontal="center"/>
    </xf>
    <xf numFmtId="0" fontId="7" fillId="0" borderId="0" xfId="0" applyFont="1" applyBorder="1"/>
    <xf numFmtId="0" fontId="0" fillId="0" borderId="0" xfId="0" applyAlignment="1"/>
    <xf numFmtId="9" fontId="6" fillId="0" borderId="0" xfId="0" applyNumberFormat="1" applyFont="1" applyAlignment="1">
      <alignment horizontal="center"/>
    </xf>
    <xf numFmtId="9" fontId="6" fillId="0" borderId="0" xfId="0" applyNumberFormat="1" applyFont="1" applyAlignment="1" applyProtection="1">
      <alignment horizontal="center"/>
      <protection locked="0" hidden="1"/>
    </xf>
    <xf numFmtId="0" fontId="6" fillId="0" borderId="0" xfId="0" applyFont="1" applyAlignment="1">
      <alignment horizontal="center"/>
    </xf>
    <xf numFmtId="0" fontId="32" fillId="0" borderId="0" xfId="58" applyFont="1" applyAlignment="1">
      <alignment horizontal="center"/>
    </xf>
    <xf numFmtId="0" fontId="0" fillId="0" borderId="0" xfId="0" applyAlignment="1">
      <alignment wrapText="1"/>
    </xf>
    <xf numFmtId="0" fontId="3" fillId="0" borderId="0" xfId="0" applyFont="1" applyAlignment="1">
      <alignment horizontal="center"/>
    </xf>
    <xf numFmtId="0" fontId="0" fillId="0" borderId="0" xfId="0" applyAlignment="1">
      <alignment horizontal="center"/>
    </xf>
    <xf numFmtId="44" fontId="9" fillId="0" borderId="0" xfId="0" applyNumberFormat="1" applyFont="1"/>
    <xf numFmtId="190" fontId="0" fillId="0" borderId="0" xfId="71" applyNumberFormat="1" applyFont="1"/>
    <xf numFmtId="164" fontId="12" fillId="0" borderId="0" xfId="0" applyNumberFormat="1" applyFont="1"/>
    <xf numFmtId="9" fontId="0" fillId="0" borderId="0" xfId="0" applyNumberFormat="1"/>
    <xf numFmtId="0" fontId="17" fillId="0" borderId="0" xfId="0" applyFont="1" applyFill="1"/>
    <xf numFmtId="43" fontId="12" fillId="0" borderId="0" xfId="0" applyNumberFormat="1" applyFont="1"/>
    <xf numFmtId="9" fontId="12" fillId="0" borderId="0" xfId="71" applyFont="1"/>
    <xf numFmtId="0" fontId="3" fillId="0" borderId="0" xfId="0" applyFont="1" applyFill="1" applyBorder="1"/>
    <xf numFmtId="169" fontId="3" fillId="0" borderId="0" xfId="0" applyNumberFormat="1" applyFont="1" applyFill="1" applyAlignment="1"/>
    <xf numFmtId="169" fontId="0" fillId="0" borderId="0" xfId="35" applyNumberFormat="1" applyFont="1" applyFill="1" applyBorder="1"/>
    <xf numFmtId="0" fontId="0" fillId="0" borderId="0" xfId="0" applyAlignment="1"/>
    <xf numFmtId="42" fontId="0" fillId="0" borderId="0" xfId="0" applyNumberFormat="1" applyFill="1" applyBorder="1"/>
    <xf numFmtId="0" fontId="10" fillId="0" borderId="0" xfId="0" applyFont="1" applyAlignment="1">
      <alignment wrapText="1"/>
    </xf>
    <xf numFmtId="0" fontId="24" fillId="0" borderId="21" xfId="0" applyFont="1" applyFill="1" applyBorder="1" applyAlignment="1">
      <alignment horizontal="left"/>
    </xf>
    <xf numFmtId="42" fontId="24" fillId="0" borderId="21" xfId="41" applyNumberFormat="1" applyFont="1" applyFill="1" applyBorder="1" applyAlignment="1">
      <alignment horizontal="left"/>
    </xf>
    <xf numFmtId="165" fontId="24" fillId="0" borderId="21" xfId="41" applyNumberFormat="1" applyFont="1" applyFill="1" applyBorder="1" applyAlignment="1">
      <alignment horizontal="left"/>
    </xf>
    <xf numFmtId="42" fontId="24" fillId="0" borderId="21" xfId="71" applyNumberFormat="1" applyFont="1" applyFill="1" applyBorder="1" applyAlignment="1">
      <alignment horizontal="left"/>
    </xf>
    <xf numFmtId="0" fontId="24" fillId="0" borderId="21" xfId="0" applyFont="1" applyBorder="1"/>
    <xf numFmtId="0" fontId="24" fillId="0" borderId="21" xfId="0" applyFont="1" applyFill="1" applyBorder="1" applyAlignment="1"/>
    <xf numFmtId="0" fontId="61" fillId="0" borderId="21" xfId="0" applyFont="1" applyBorder="1"/>
    <xf numFmtId="0" fontId="15" fillId="33" borderId="21" xfId="0" applyFont="1" applyFill="1" applyBorder="1" applyAlignment="1"/>
    <xf numFmtId="42" fontId="15" fillId="33" borderId="21" xfId="41" applyNumberFormat="1" applyFont="1" applyFill="1" applyBorder="1" applyAlignment="1">
      <alignment horizontal="left"/>
    </xf>
    <xf numFmtId="0" fontId="24" fillId="33" borderId="21" xfId="0" applyFont="1" applyFill="1" applyBorder="1"/>
    <xf numFmtId="0" fontId="62" fillId="32" borderId="20" xfId="0" applyFont="1" applyFill="1" applyBorder="1"/>
    <xf numFmtId="0" fontId="62" fillId="32" borderId="23" xfId="0" applyFont="1" applyFill="1" applyBorder="1" applyAlignment="1">
      <alignment horizontal="center"/>
    </xf>
    <xf numFmtId="0" fontId="62" fillId="32" borderId="20" xfId="0" applyFont="1" applyFill="1" applyBorder="1" applyAlignment="1">
      <alignment horizontal="center"/>
    </xf>
    <xf numFmtId="0" fontId="62" fillId="32" borderId="0" xfId="0" applyFont="1" applyFill="1" applyAlignment="1">
      <alignment horizontal="center"/>
    </xf>
    <xf numFmtId="0" fontId="63" fillId="32" borderId="12" xfId="0" applyFont="1" applyFill="1" applyBorder="1"/>
    <xf numFmtId="0" fontId="62" fillId="32" borderId="15" xfId="0" applyFont="1" applyFill="1" applyBorder="1" applyAlignment="1">
      <alignment horizontal="center" wrapText="1"/>
    </xf>
    <xf numFmtId="0" fontId="62" fillId="32" borderId="12" xfId="0" applyFont="1" applyFill="1" applyBorder="1" applyAlignment="1">
      <alignment horizontal="center" wrapText="1"/>
    </xf>
    <xf numFmtId="0" fontId="63" fillId="32" borderId="0" xfId="0" applyFont="1" applyFill="1"/>
    <xf numFmtId="0" fontId="62" fillId="32" borderId="12" xfId="0" applyFont="1" applyFill="1" applyBorder="1" applyAlignment="1">
      <alignment horizontal="center"/>
    </xf>
    <xf numFmtId="172" fontId="62" fillId="32" borderId="12" xfId="41" applyNumberFormat="1" applyFont="1" applyFill="1" applyBorder="1" applyAlignment="1">
      <alignment horizontal="center" wrapText="1"/>
    </xf>
    <xf numFmtId="172" fontId="62" fillId="32" borderId="12" xfId="0" applyNumberFormat="1" applyFont="1" applyFill="1" applyBorder="1" applyAlignment="1">
      <alignment horizontal="center"/>
    </xf>
    <xf numFmtId="0" fontId="15" fillId="33" borderId="21" xfId="0" applyFont="1" applyFill="1" applyBorder="1" applyAlignment="1">
      <alignment horizontal="left"/>
    </xf>
    <xf numFmtId="165" fontId="15" fillId="33" borderId="21" xfId="41" applyNumberFormat="1" applyFont="1" applyFill="1" applyBorder="1" applyAlignment="1">
      <alignment horizontal="left"/>
    </xf>
    <xf numFmtId="0" fontId="24" fillId="0" borderId="0" xfId="0" applyFont="1"/>
    <xf numFmtId="0" fontId="24" fillId="0" borderId="33" xfId="0" applyFont="1" applyFill="1" applyBorder="1" applyAlignment="1">
      <alignment horizontal="left"/>
    </xf>
    <xf numFmtId="0" fontId="24" fillId="0" borderId="28" xfId="0" applyFont="1" applyFill="1" applyBorder="1" applyAlignment="1">
      <alignment horizontal="left"/>
    </xf>
    <xf numFmtId="0" fontId="61" fillId="0" borderId="0" xfId="0" applyFont="1"/>
    <xf numFmtId="0" fontId="24" fillId="0" borderId="21" xfId="0" applyFont="1" applyFill="1" applyBorder="1"/>
    <xf numFmtId="0" fontId="61" fillId="33" borderId="21" xfId="0" applyFont="1" applyFill="1" applyBorder="1"/>
    <xf numFmtId="0" fontId="24" fillId="0" borderId="31" xfId="0" applyFont="1" applyFill="1" applyBorder="1"/>
    <xf numFmtId="0" fontId="24" fillId="0" borderId="30" xfId="0" applyFont="1" applyFill="1" applyBorder="1" applyAlignment="1">
      <alignment horizontal="left"/>
    </xf>
    <xf numFmtId="0" fontId="65" fillId="0" borderId="0" xfId="0" applyFont="1"/>
    <xf numFmtId="165" fontId="24" fillId="0" borderId="21" xfId="71" applyNumberFormat="1" applyFont="1" applyFill="1" applyBorder="1" applyAlignment="1">
      <alignment horizontal="right"/>
    </xf>
    <xf numFmtId="42" fontId="24" fillId="33" borderId="21" xfId="41" applyNumberFormat="1" applyFont="1" applyFill="1" applyBorder="1" applyAlignment="1">
      <alignment horizontal="left"/>
    </xf>
    <xf numFmtId="165" fontId="24" fillId="33" borderId="21" xfId="41" applyNumberFormat="1" applyFont="1" applyFill="1" applyBorder="1" applyAlignment="1">
      <alignment horizontal="left"/>
    </xf>
    <xf numFmtId="0" fontId="64" fillId="33" borderId="21" xfId="0" applyFont="1" applyFill="1" applyBorder="1"/>
    <xf numFmtId="42" fontId="65" fillId="33" borderId="21" xfId="41" applyNumberFormat="1" applyFont="1" applyFill="1" applyBorder="1" applyAlignment="1">
      <alignment horizontal="left"/>
    </xf>
    <xf numFmtId="165" fontId="65" fillId="33" borderId="21" xfId="41" applyNumberFormat="1" applyFont="1" applyFill="1" applyBorder="1" applyAlignment="1">
      <alignment horizontal="left"/>
    </xf>
    <xf numFmtId="0" fontId="65" fillId="33" borderId="21" xfId="0" applyFont="1" applyFill="1" applyBorder="1"/>
    <xf numFmtId="42" fontId="15" fillId="33" borderId="21" xfId="71" applyNumberFormat="1" applyFont="1" applyFill="1" applyBorder="1" applyAlignment="1">
      <alignment horizontal="left"/>
    </xf>
    <xf numFmtId="0" fontId="24" fillId="0" borderId="29" xfId="0" applyFont="1" applyFill="1" applyBorder="1" applyAlignment="1">
      <alignment horizontal="left"/>
    </xf>
    <xf numFmtId="0" fontId="24" fillId="0" borderId="21" xfId="0" applyFont="1" applyFill="1" applyBorder="1" applyAlignment="1">
      <alignment horizontal="left" wrapText="1"/>
    </xf>
    <xf numFmtId="0" fontId="24" fillId="0" borderId="21" xfId="0" applyFont="1" applyFill="1" applyBorder="1" applyAlignment="1">
      <alignment wrapText="1"/>
    </xf>
    <xf numFmtId="0" fontId="24" fillId="0" borderId="0" xfId="0" applyFont="1" applyAlignment="1"/>
    <xf numFmtId="0" fontId="62" fillId="32" borderId="34" xfId="0" applyFont="1" applyFill="1" applyBorder="1" applyAlignment="1">
      <alignment horizontal="center"/>
    </xf>
    <xf numFmtId="0" fontId="62" fillId="32" borderId="14" xfId="0" applyFont="1" applyFill="1" applyBorder="1" applyAlignment="1">
      <alignment horizontal="center"/>
    </xf>
    <xf numFmtId="0" fontId="63" fillId="32" borderId="18" xfId="0" applyFont="1" applyFill="1" applyBorder="1"/>
    <xf numFmtId="49" fontId="62" fillId="32" borderId="18" xfId="41" applyNumberFormat="1" applyFont="1" applyFill="1" applyBorder="1" applyAlignment="1">
      <alignment horizontal="center" wrapText="1"/>
    </xf>
    <xf numFmtId="42" fontId="24" fillId="0" borderId="21" xfId="43" applyNumberFormat="1" applyFont="1" applyFill="1" applyBorder="1" applyAlignment="1">
      <alignment horizontal="left"/>
    </xf>
    <xf numFmtId="0" fontId="24" fillId="0" borderId="0" xfId="0" applyFont="1" applyFill="1"/>
    <xf numFmtId="0" fontId="15" fillId="30" borderId="19" xfId="0" applyFont="1" applyFill="1" applyBorder="1" applyAlignment="1">
      <alignment horizontal="left"/>
    </xf>
    <xf numFmtId="0" fontId="63" fillId="32" borderId="22" xfId="0" applyFont="1" applyFill="1" applyBorder="1"/>
    <xf numFmtId="0" fontId="62" fillId="32" borderId="0" xfId="0" applyFont="1" applyFill="1" applyBorder="1" applyAlignment="1">
      <alignment horizontal="center"/>
    </xf>
    <xf numFmtId="0" fontId="63" fillId="32" borderId="0" xfId="0" applyFont="1" applyFill="1" applyBorder="1"/>
    <xf numFmtId="0" fontId="63" fillId="32" borderId="11" xfId="0" applyFont="1" applyFill="1" applyBorder="1"/>
    <xf numFmtId="0" fontId="63" fillId="32" borderId="20" xfId="0" applyFont="1" applyFill="1" applyBorder="1"/>
    <xf numFmtId="0" fontId="15" fillId="0" borderId="34" xfId="0" applyFont="1" applyFill="1" applyBorder="1" applyAlignment="1">
      <alignment horizontal="center"/>
    </xf>
    <xf numFmtId="0" fontId="24" fillId="0" borderId="0" xfId="0" applyFont="1" applyFill="1" applyAlignment="1">
      <alignment horizontal="center"/>
    </xf>
    <xf numFmtId="0" fontId="24" fillId="0" borderId="26" xfId="0" applyFont="1" applyFill="1" applyBorder="1" applyAlignment="1">
      <alignment horizontal="left"/>
    </xf>
    <xf numFmtId="0" fontId="15" fillId="30" borderId="21" xfId="0" applyFont="1" applyFill="1" applyBorder="1" applyAlignment="1">
      <alignment horizontal="left"/>
    </xf>
    <xf numFmtId="0" fontId="24" fillId="0" borderId="25" xfId="0" applyFont="1" applyFill="1" applyBorder="1" applyAlignment="1">
      <alignment horizontal="left"/>
    </xf>
    <xf numFmtId="0" fontId="15" fillId="0" borderId="19" xfId="0" applyFont="1" applyFill="1" applyBorder="1" applyAlignment="1">
      <alignment horizontal="center"/>
    </xf>
    <xf numFmtId="0" fontId="24" fillId="0" borderId="0" xfId="0" applyFont="1" applyFill="1" applyBorder="1"/>
    <xf numFmtId="0" fontId="62" fillId="32" borderId="12" xfId="0" applyFont="1" applyFill="1" applyBorder="1" applyAlignment="1">
      <alignment wrapText="1"/>
    </xf>
    <xf numFmtId="0" fontId="62" fillId="32" borderId="18" xfId="0" applyFont="1" applyFill="1" applyBorder="1" applyAlignment="1">
      <alignment wrapText="1"/>
    </xf>
    <xf numFmtId="172" fontId="62" fillId="32" borderId="18" xfId="0" applyNumberFormat="1" applyFont="1" applyFill="1" applyBorder="1" applyAlignment="1">
      <alignment horizontal="center"/>
    </xf>
    <xf numFmtId="42" fontId="24" fillId="0" borderId="21" xfId="0" applyNumberFormat="1" applyFont="1" applyFill="1" applyBorder="1"/>
    <xf numFmtId="165" fontId="24" fillId="0" borderId="21" xfId="0" applyNumberFormat="1" applyFont="1" applyFill="1" applyBorder="1"/>
    <xf numFmtId="164" fontId="24" fillId="0" borderId="21" xfId="35" applyNumberFormat="1" applyFont="1" applyFill="1" applyBorder="1"/>
    <xf numFmtId="164" fontId="15" fillId="33" borderId="21" xfId="35" applyNumberFormat="1" applyFont="1" applyFill="1" applyBorder="1" applyAlignment="1">
      <alignment horizontal="left"/>
    </xf>
    <xf numFmtId="0" fontId="24" fillId="0" borderId="0" xfId="0" applyFont="1" applyFill="1" applyBorder="1" applyAlignment="1">
      <alignment horizontal="center"/>
    </xf>
    <xf numFmtId="42" fontId="64" fillId="33" borderId="21" xfId="41" applyNumberFormat="1" applyFont="1" applyFill="1" applyBorder="1" applyAlignment="1">
      <alignment horizontal="left"/>
    </xf>
    <xf numFmtId="0" fontId="15" fillId="0" borderId="0" xfId="0" applyFont="1" applyAlignment="1">
      <alignment horizontal="center"/>
    </xf>
    <xf numFmtId="0" fontId="24" fillId="0" borderId="0" xfId="57" applyFont="1"/>
    <xf numFmtId="0" fontId="24" fillId="0" borderId="0" xfId="58" applyFont="1"/>
    <xf numFmtId="2" fontId="24" fillId="0" borderId="0" xfId="58" applyNumberFormat="1" applyFont="1"/>
    <xf numFmtId="3" fontId="67" fillId="0" borderId="0" xfId="42" applyNumberFormat="1" applyFont="1" applyFill="1" applyBorder="1" applyAlignment="1">
      <alignment horizontal="center"/>
    </xf>
    <xf numFmtId="42" fontId="24" fillId="0" borderId="26" xfId="37" applyNumberFormat="1" applyFont="1" applyFill="1" applyBorder="1" applyAlignment="1">
      <alignment horizontal="right"/>
    </xf>
    <xf numFmtId="42" fontId="24" fillId="0" borderId="26" xfId="58" applyNumberFormat="1" applyFont="1" applyBorder="1" applyAlignment="1">
      <alignment horizontal="center"/>
    </xf>
    <xf numFmtId="42" fontId="24" fillId="0" borderId="0" xfId="58" applyNumberFormat="1" applyFont="1"/>
    <xf numFmtId="187" fontId="24" fillId="0" borderId="0" xfId="58" applyNumberFormat="1" applyFont="1"/>
    <xf numFmtId="42" fontId="24" fillId="0" borderId="28" xfId="37" applyNumberFormat="1" applyFont="1" applyFill="1" applyBorder="1" applyAlignment="1">
      <alignment horizontal="center"/>
    </xf>
    <xf numFmtId="9" fontId="67" fillId="0" borderId="0" xfId="72" applyFont="1" applyFill="1" applyBorder="1" applyAlignment="1">
      <alignment horizontal="center"/>
    </xf>
    <xf numFmtId="42" fontId="24" fillId="0" borderId="28" xfId="37" applyNumberFormat="1" applyFont="1" applyFill="1" applyBorder="1" applyAlignment="1">
      <alignment horizontal="right"/>
    </xf>
    <xf numFmtId="0" fontId="24" fillId="0" borderId="25" xfId="58" applyFont="1" applyFill="1" applyBorder="1" applyAlignment="1">
      <alignment horizontal="left"/>
    </xf>
    <xf numFmtId="42" fontId="24" fillId="0" borderId="26" xfId="37" applyNumberFormat="1" applyFont="1" applyFill="1" applyBorder="1" applyAlignment="1">
      <alignment horizontal="center"/>
    </xf>
    <xf numFmtId="165" fontId="24" fillId="0" borderId="26" xfId="37" applyNumberFormat="1" applyFont="1" applyFill="1" applyBorder="1" applyAlignment="1">
      <alignment horizontal="center"/>
    </xf>
    <xf numFmtId="42" fontId="24" fillId="0" borderId="21" xfId="37" applyNumberFormat="1" applyFont="1" applyFill="1" applyBorder="1" applyAlignment="1">
      <alignment horizontal="center"/>
    </xf>
    <xf numFmtId="186" fontId="24" fillId="0" borderId="0" xfId="58" applyNumberFormat="1" applyFont="1"/>
    <xf numFmtId="42" fontId="24" fillId="0" borderId="28" xfId="58" applyNumberFormat="1" applyFont="1" applyBorder="1" applyAlignment="1">
      <alignment horizontal="center"/>
    </xf>
    <xf numFmtId="0" fontId="24" fillId="0" borderId="33" xfId="58" applyFont="1" applyBorder="1"/>
    <xf numFmtId="0" fontId="24" fillId="0" borderId="14" xfId="58" applyFont="1" applyBorder="1"/>
    <xf numFmtId="42" fontId="24" fillId="0" borderId="12" xfId="37" applyNumberFormat="1" applyFont="1" applyFill="1" applyBorder="1" applyAlignment="1">
      <alignment horizontal="center"/>
    </xf>
    <xf numFmtId="42" fontId="24" fillId="0" borderId="12" xfId="37" applyNumberFormat="1" applyFont="1" applyFill="1" applyBorder="1" applyAlignment="1">
      <alignment horizontal="right"/>
    </xf>
    <xf numFmtId="3" fontId="64" fillId="0" borderId="0" xfId="42" applyNumberFormat="1" applyFont="1" applyFill="1" applyBorder="1" applyAlignment="1">
      <alignment horizontal="center"/>
    </xf>
    <xf numFmtId="0" fontId="62" fillId="32" borderId="21" xfId="58" applyFont="1" applyFill="1" applyBorder="1" applyAlignment="1">
      <alignment horizontal="center" wrapText="1"/>
    </xf>
    <xf numFmtId="42" fontId="62" fillId="32" borderId="21" xfId="58" applyNumberFormat="1" applyFont="1" applyFill="1" applyBorder="1" applyAlignment="1">
      <alignment horizontal="center" wrapText="1"/>
    </xf>
    <xf numFmtId="0" fontId="24" fillId="0" borderId="21" xfId="58" applyFont="1" applyFill="1" applyBorder="1" applyAlignment="1">
      <alignment horizontal="left"/>
    </xf>
    <xf numFmtId="42" fontId="24" fillId="0" borderId="21" xfId="37" applyNumberFormat="1" applyFont="1" applyFill="1" applyBorder="1" applyAlignment="1">
      <alignment horizontal="right"/>
    </xf>
    <xf numFmtId="165" fontId="24" fillId="0" borderId="21" xfId="37" applyNumberFormat="1" applyFont="1" applyFill="1" applyBorder="1" applyAlignment="1">
      <alignment horizontal="right"/>
    </xf>
    <xf numFmtId="42" fontId="24" fillId="0" borderId="21" xfId="58" applyNumberFormat="1" applyFont="1" applyBorder="1" applyAlignment="1">
      <alignment horizontal="center"/>
    </xf>
    <xf numFmtId="42" fontId="24" fillId="0" borderId="21" xfId="58" applyNumberFormat="1" applyFont="1" applyBorder="1" applyAlignment="1">
      <alignment horizontal="right"/>
    </xf>
    <xf numFmtId="0" fontId="15" fillId="33" borderId="21" xfId="58" applyFont="1" applyFill="1" applyBorder="1" applyAlignment="1">
      <alignment horizontal="left"/>
    </xf>
    <xf numFmtId="42" fontId="15" fillId="33" borderId="21" xfId="58" applyNumberFormat="1" applyFont="1" applyFill="1" applyBorder="1" applyAlignment="1">
      <alignment horizontal="center"/>
    </xf>
    <xf numFmtId="0" fontId="15" fillId="33" borderId="19" xfId="58" applyFont="1" applyFill="1" applyBorder="1" applyAlignment="1">
      <alignment horizontal="left"/>
    </xf>
    <xf numFmtId="42" fontId="15" fillId="33" borderId="21" xfId="37" quotePrefix="1" applyNumberFormat="1" applyFont="1" applyFill="1" applyBorder="1" applyAlignment="1">
      <alignment horizontal="center"/>
    </xf>
    <xf numFmtId="165" fontId="24" fillId="0" borderId="21" xfId="37" applyNumberFormat="1" applyFont="1" applyFill="1" applyBorder="1" applyAlignment="1">
      <alignment horizontal="center"/>
    </xf>
    <xf numFmtId="0" fontId="24" fillId="0" borderId="21" xfId="58" applyFont="1" applyFill="1" applyBorder="1"/>
    <xf numFmtId="42" fontId="24" fillId="0" borderId="21" xfId="58" applyNumberFormat="1" applyFont="1" applyFill="1" applyBorder="1" applyAlignment="1">
      <alignment horizontal="center"/>
    </xf>
    <xf numFmtId="165" fontId="24" fillId="0" borderId="21" xfId="35" applyNumberFormat="1" applyFont="1" applyFill="1" applyBorder="1" applyAlignment="1">
      <alignment horizontal="center"/>
    </xf>
    <xf numFmtId="165" fontId="24" fillId="0" borderId="21" xfId="42" quotePrefix="1" applyNumberFormat="1" applyFont="1" applyFill="1" applyBorder="1" applyAlignment="1">
      <alignment horizontal="center"/>
    </xf>
    <xf numFmtId="42" fontId="24" fillId="0" borderId="21" xfId="37" quotePrefix="1" applyNumberFormat="1" applyFont="1" applyFill="1" applyBorder="1" applyAlignment="1">
      <alignment horizontal="center"/>
    </xf>
    <xf numFmtId="42" fontId="24" fillId="33" borderId="21" xfId="37" applyNumberFormat="1" applyFont="1" applyFill="1" applyBorder="1" applyAlignment="1">
      <alignment horizontal="center"/>
    </xf>
    <xf numFmtId="42" fontId="24" fillId="33" borderId="21" xfId="58" applyNumberFormat="1" applyFont="1" applyFill="1" applyBorder="1" applyAlignment="1">
      <alignment horizontal="center"/>
    </xf>
    <xf numFmtId="0" fontId="64" fillId="33" borderId="21" xfId="58" applyFont="1" applyFill="1" applyBorder="1"/>
    <xf numFmtId="165" fontId="65" fillId="33" borderId="21" xfId="42" applyNumberFormat="1" applyFont="1" applyFill="1" applyBorder="1" applyAlignment="1">
      <alignment horizontal="center"/>
    </xf>
    <xf numFmtId="165" fontId="65" fillId="33" borderId="21" xfId="41" applyNumberFormat="1" applyFont="1" applyFill="1" applyBorder="1" applyAlignment="1">
      <alignment horizontal="center"/>
    </xf>
    <xf numFmtId="0" fontId="24" fillId="0" borderId="21" xfId="58" applyFont="1" applyFill="1" applyBorder="1" applyAlignment="1">
      <alignment horizontal="left" wrapText="1"/>
    </xf>
    <xf numFmtId="0" fontId="24" fillId="0" borderId="21" xfId="58" applyFont="1" applyFill="1" applyBorder="1" applyAlignment="1">
      <alignment wrapText="1"/>
    </xf>
    <xf numFmtId="0" fontId="24" fillId="0" borderId="0" xfId="0" applyFont="1" applyAlignment="1">
      <alignment horizontal="left"/>
    </xf>
    <xf numFmtId="0" fontId="15" fillId="0" borderId="0" xfId="0" applyFont="1" applyFill="1" applyAlignment="1">
      <alignment horizontal="left"/>
    </xf>
    <xf numFmtId="165" fontId="24" fillId="0" borderId="21" xfId="35" applyNumberFormat="1" applyFont="1" applyFill="1" applyBorder="1" applyAlignment="1"/>
    <xf numFmtId="0" fontId="15" fillId="0" borderId="0" xfId="0" applyFont="1" applyFill="1" applyAlignment="1">
      <alignment horizontal="center"/>
    </xf>
    <xf numFmtId="0" fontId="24" fillId="25" borderId="0" xfId="0" applyFont="1" applyFill="1" applyBorder="1" applyAlignment="1">
      <alignment horizontal="center"/>
    </xf>
    <xf numFmtId="0" fontId="24" fillId="0" borderId="0" xfId="0" applyFont="1" applyBorder="1" applyAlignment="1">
      <alignment horizontal="center"/>
    </xf>
    <xf numFmtId="0" fontId="24" fillId="26" borderId="0" xfId="0" applyFont="1" applyFill="1" applyBorder="1" applyAlignment="1">
      <alignment horizontal="center"/>
    </xf>
    <xf numFmtId="0" fontId="61" fillId="0" borderId="0" xfId="0" applyFont="1" applyBorder="1" applyAlignment="1">
      <alignment horizontal="center"/>
    </xf>
    <xf numFmtId="0" fontId="61" fillId="0" borderId="0" xfId="0" applyFont="1" applyFill="1" applyBorder="1" applyAlignment="1">
      <alignment horizontal="center"/>
    </xf>
    <xf numFmtId="0" fontId="24" fillId="27" borderId="0" xfId="0" applyFont="1" applyFill="1" applyBorder="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0" fontId="15" fillId="0" borderId="0" xfId="0" applyFont="1" applyFill="1"/>
    <xf numFmtId="0" fontId="24" fillId="0" borderId="0" xfId="0" quotePrefix="1" applyFont="1" applyAlignment="1">
      <alignment horizontal="center"/>
    </xf>
    <xf numFmtId="168" fontId="62" fillId="32" borderId="11" xfId="41" applyNumberFormat="1" applyFont="1" applyFill="1" applyBorder="1" applyAlignment="1">
      <alignment horizontal="center"/>
    </xf>
    <xf numFmtId="0" fontId="62" fillId="32" borderId="11" xfId="0" applyFont="1" applyFill="1" applyBorder="1" applyAlignment="1">
      <alignment horizontal="center"/>
    </xf>
    <xf numFmtId="165" fontId="15" fillId="33" borderId="21" xfId="35" applyNumberFormat="1" applyFont="1" applyFill="1" applyBorder="1" applyAlignment="1"/>
    <xf numFmtId="165" fontId="24" fillId="0" borderId="21" xfId="0" applyNumberFormat="1" applyFont="1" applyBorder="1"/>
    <xf numFmtId="165" fontId="24" fillId="33" borderId="21" xfId="35" applyNumberFormat="1" applyFont="1" applyFill="1" applyBorder="1" applyAlignment="1">
      <alignment horizontal="right"/>
    </xf>
    <xf numFmtId="0" fontId="15" fillId="33" borderId="21" xfId="0" applyFont="1" applyFill="1" applyBorder="1"/>
    <xf numFmtId="165" fontId="24" fillId="33" borderId="21" xfId="35" applyNumberFormat="1" applyFont="1" applyFill="1" applyBorder="1" applyAlignment="1"/>
    <xf numFmtId="165" fontId="24" fillId="33" borderId="21" xfId="35" applyNumberFormat="1" applyFont="1" applyFill="1" applyBorder="1" applyAlignment="1">
      <alignment horizontal="center"/>
    </xf>
    <xf numFmtId="0" fontId="5" fillId="0" borderId="0" xfId="0" applyFont="1" applyFill="1" applyBorder="1"/>
    <xf numFmtId="0" fontId="9" fillId="0" borderId="0" xfId="0" applyFont="1" applyFill="1" applyBorder="1"/>
    <xf numFmtId="0" fontId="12" fillId="0" borderId="0" xfId="0" applyFont="1" applyFill="1" applyBorder="1"/>
    <xf numFmtId="164" fontId="24" fillId="0" borderId="26" xfId="35" applyNumberFormat="1" applyFont="1" applyFill="1" applyBorder="1" applyAlignment="1"/>
    <xf numFmtId="0" fontId="24" fillId="0" borderId="12" xfId="0" applyFont="1" applyFill="1" applyBorder="1" applyAlignment="1">
      <alignment horizontal="left"/>
    </xf>
    <xf numFmtId="164" fontId="15" fillId="33" borderId="21" xfId="35" applyNumberFormat="1" applyFont="1" applyFill="1" applyBorder="1" applyAlignment="1"/>
    <xf numFmtId="164" fontId="24" fillId="0" borderId="21" xfId="35" applyNumberFormat="1" applyFont="1" applyFill="1" applyBorder="1" applyAlignment="1"/>
    <xf numFmtId="0" fontId="15" fillId="33" borderId="21" xfId="0" applyFont="1" applyFill="1" applyBorder="1" applyAlignment="1">
      <alignment horizontal="center"/>
    </xf>
    <xf numFmtId="164" fontId="24" fillId="33" borderId="21" xfId="35" applyNumberFormat="1" applyFont="1" applyFill="1" applyBorder="1" applyAlignment="1"/>
    <xf numFmtId="0" fontId="24" fillId="33" borderId="21" xfId="0" applyFont="1" applyFill="1" applyBorder="1" applyAlignment="1">
      <alignment horizontal="left"/>
    </xf>
    <xf numFmtId="164" fontId="24" fillId="33" borderId="21" xfId="35" applyNumberFormat="1" applyFont="1" applyFill="1" applyBorder="1" applyAlignment="1">
      <alignment horizontal="right"/>
    </xf>
    <xf numFmtId="168" fontId="62" fillId="32" borderId="18" xfId="41" applyNumberFormat="1" applyFont="1" applyFill="1" applyBorder="1" applyAlignment="1">
      <alignment horizontal="center"/>
    </xf>
    <xf numFmtId="0" fontId="62" fillId="32" borderId="18" xfId="0" applyFont="1" applyFill="1" applyBorder="1" applyAlignment="1">
      <alignment horizontal="center"/>
    </xf>
    <xf numFmtId="0" fontId="62" fillId="32" borderId="20" xfId="0" applyFont="1" applyFill="1" applyBorder="1" applyAlignment="1">
      <alignment horizontal="left"/>
    </xf>
    <xf numFmtId="37" fontId="24" fillId="0" borderId="21" xfId="35" applyNumberFormat="1" applyFont="1" applyFill="1" applyBorder="1" applyAlignment="1"/>
    <xf numFmtId="0" fontId="62" fillId="32" borderId="12" xfId="0" applyFont="1" applyFill="1" applyBorder="1"/>
    <xf numFmtId="42" fontId="24" fillId="0" borderId="31" xfId="35" applyNumberFormat="1" applyFont="1" applyFill="1" applyBorder="1" applyAlignment="1"/>
    <xf numFmtId="42" fontId="24" fillId="0" borderId="0" xfId="35" applyNumberFormat="1" applyFont="1"/>
    <xf numFmtId="42" fontId="24" fillId="0" borderId="22" xfId="35" applyNumberFormat="1" applyFont="1" applyBorder="1"/>
    <xf numFmtId="42" fontId="24" fillId="0" borderId="15" xfId="35" applyNumberFormat="1" applyFont="1" applyBorder="1"/>
    <xf numFmtId="42" fontId="15" fillId="30" borderId="21" xfId="35" applyNumberFormat="1" applyFont="1" applyFill="1" applyBorder="1" applyAlignment="1"/>
    <xf numFmtId="42" fontId="24" fillId="0" borderId="28" xfId="35" applyNumberFormat="1" applyFont="1" applyFill="1" applyBorder="1" applyAlignment="1"/>
    <xf numFmtId="42" fontId="24" fillId="0" borderId="26" xfId="35" applyNumberFormat="1" applyFont="1" applyBorder="1"/>
    <xf numFmtId="42" fontId="24" fillId="0" borderId="27" xfId="35" applyNumberFormat="1" applyFont="1" applyBorder="1"/>
    <xf numFmtId="42" fontId="24" fillId="0" borderId="28" xfId="35" applyNumberFormat="1" applyFont="1" applyBorder="1"/>
    <xf numFmtId="42" fontId="24" fillId="0" borderId="25" xfId="35" applyNumberFormat="1" applyFont="1" applyFill="1" applyBorder="1" applyAlignment="1">
      <alignment horizontal="center"/>
    </xf>
    <xf numFmtId="42" fontId="24" fillId="0" borderId="26" xfId="35" applyNumberFormat="1" applyFont="1" applyFill="1" applyBorder="1" applyAlignment="1">
      <alignment horizontal="center"/>
    </xf>
    <xf numFmtId="42" fontId="24" fillId="0" borderId="33" xfId="35" applyNumberFormat="1" applyFont="1" applyFill="1" applyBorder="1" applyAlignment="1">
      <alignment horizontal="center"/>
    </xf>
    <xf numFmtId="42" fontId="24" fillId="0" borderId="28" xfId="35" applyNumberFormat="1" applyFont="1" applyFill="1" applyBorder="1" applyAlignment="1">
      <alignment horizontal="center"/>
    </xf>
    <xf numFmtId="42" fontId="24" fillId="0" borderId="33" xfId="35" applyNumberFormat="1" applyFont="1" applyFill="1" applyBorder="1" applyAlignment="1"/>
    <xf numFmtId="42" fontId="24" fillId="0" borderId="29" xfId="35" applyNumberFormat="1" applyFont="1" applyFill="1" applyBorder="1" applyAlignment="1"/>
    <xf numFmtId="42" fontId="24" fillId="0" borderId="14" xfId="35" applyNumberFormat="1" applyFont="1" applyFill="1" applyBorder="1" applyAlignment="1">
      <alignment horizontal="center"/>
    </xf>
    <xf numFmtId="42" fontId="24" fillId="0" borderId="12" xfId="35" applyNumberFormat="1" applyFont="1" applyFill="1" applyBorder="1" applyAlignment="1">
      <alignment horizontal="center"/>
    </xf>
    <xf numFmtId="42" fontId="24" fillId="0" borderId="32" xfId="35" applyNumberFormat="1" applyFont="1" applyFill="1" applyBorder="1" applyAlignment="1">
      <alignment horizontal="center"/>
    </xf>
    <xf numFmtId="42" fontId="24" fillId="0" borderId="30" xfId="35" applyNumberFormat="1" applyFont="1" applyFill="1" applyBorder="1" applyAlignment="1">
      <alignment horizontal="center"/>
    </xf>
    <xf numFmtId="42" fontId="15" fillId="30" borderId="19" xfId="35" applyNumberFormat="1" applyFont="1" applyFill="1" applyBorder="1" applyAlignment="1"/>
    <xf numFmtId="42" fontId="15" fillId="33" borderId="21" xfId="35" applyNumberFormat="1" applyFont="1" applyFill="1" applyBorder="1" applyAlignment="1"/>
    <xf numFmtId="42" fontId="24" fillId="0" borderId="21" xfId="35" applyNumberFormat="1" applyFont="1" applyFill="1" applyBorder="1" applyAlignment="1"/>
    <xf numFmtId="167" fontId="24" fillId="0" borderId="21" xfId="35" applyNumberFormat="1" applyFont="1" applyFill="1" applyBorder="1" applyAlignment="1"/>
    <xf numFmtId="167" fontId="15" fillId="33" borderId="21" xfId="35" applyNumberFormat="1" applyFont="1" applyFill="1" applyBorder="1" applyAlignment="1"/>
    <xf numFmtId="167" fontId="24" fillId="33" borderId="21" xfId="35" applyNumberFormat="1" applyFont="1" applyFill="1" applyBorder="1" applyAlignment="1"/>
    <xf numFmtId="184" fontId="15" fillId="33" borderId="21" xfId="35" applyNumberFormat="1" applyFont="1" applyFill="1" applyBorder="1" applyAlignment="1"/>
    <xf numFmtId="184" fontId="24" fillId="0" borderId="21" xfId="35" applyNumberFormat="1" applyFont="1" applyFill="1" applyBorder="1" applyAlignment="1"/>
    <xf numFmtId="184" fontId="24" fillId="33" borderId="21" xfId="35" applyNumberFormat="1" applyFont="1" applyFill="1" applyBorder="1"/>
    <xf numFmtId="184" fontId="24" fillId="33" borderId="21" xfId="35" applyNumberFormat="1" applyFont="1" applyFill="1" applyBorder="1" applyAlignment="1"/>
    <xf numFmtId="184" fontId="24" fillId="33" borderId="21" xfId="35" applyNumberFormat="1" applyFont="1" applyFill="1" applyBorder="1" applyAlignment="1">
      <alignment horizontal="center"/>
    </xf>
    <xf numFmtId="184" fontId="24" fillId="33" borderId="21" xfId="35" applyNumberFormat="1" applyFont="1" applyFill="1" applyBorder="1" applyAlignment="1">
      <alignment horizontal="right"/>
    </xf>
    <xf numFmtId="0" fontId="68" fillId="0" borderId="0" xfId="0" applyFont="1" applyAlignment="1">
      <alignment horizontal="center" vertical="top" wrapText="1"/>
    </xf>
    <xf numFmtId="0" fontId="24" fillId="0" borderId="0" xfId="0" applyFont="1" applyAlignment="1">
      <alignment horizontal="center" vertical="center" wrapText="1"/>
    </xf>
    <xf numFmtId="9" fontId="24" fillId="0" borderId="0" xfId="0" applyNumberFormat="1" applyFont="1" applyAlignment="1">
      <alignment horizontal="center" vertical="center" wrapText="1"/>
    </xf>
    <xf numFmtId="169" fontId="24" fillId="0" borderId="0" xfId="0" applyNumberFormat="1" applyFont="1" applyAlignment="1">
      <alignment horizontal="center" vertical="center"/>
    </xf>
    <xf numFmtId="0" fontId="15" fillId="0" borderId="0" xfId="0" applyFont="1" applyAlignment="1">
      <alignment horizontal="center" vertical="center" wrapText="1"/>
    </xf>
    <xf numFmtId="166" fontId="15" fillId="0" borderId="0" xfId="0" applyNumberFormat="1" applyFont="1" applyAlignment="1">
      <alignment horizontal="center" vertical="center" wrapText="1"/>
    </xf>
    <xf numFmtId="169" fontId="15" fillId="0" borderId="0" xfId="0" applyNumberFormat="1" applyFont="1" applyAlignment="1">
      <alignment horizontal="center" vertical="center"/>
    </xf>
    <xf numFmtId="169" fontId="24" fillId="0" borderId="0" xfId="0" applyNumberFormat="1" applyFont="1" applyAlignment="1">
      <alignment horizontal="left"/>
    </xf>
    <xf numFmtId="0" fontId="15" fillId="0" borderId="0" xfId="0" applyFont="1" applyAlignment="1">
      <alignment horizontal="center" vertical="top" wrapText="1"/>
    </xf>
    <xf numFmtId="9" fontId="15" fillId="0" borderId="0" xfId="0" applyNumberFormat="1" applyFont="1" applyAlignment="1">
      <alignment horizontal="center" vertical="top" wrapText="1"/>
    </xf>
    <xf numFmtId="0" fontId="15" fillId="0" borderId="0" xfId="0" applyFont="1" applyFill="1" applyAlignment="1">
      <alignment horizontal="center" wrapText="1"/>
    </xf>
    <xf numFmtId="169" fontId="15" fillId="0" borderId="0" xfId="0" applyNumberFormat="1" applyFont="1" applyFill="1" applyAlignment="1" applyProtection="1">
      <alignment horizontal="right" wrapText="1"/>
      <protection hidden="1"/>
    </xf>
    <xf numFmtId="0" fontId="24" fillId="0" borderId="20" xfId="0" applyFont="1" applyBorder="1" applyAlignment="1">
      <alignment horizontal="center" vertical="center" wrapText="1"/>
    </xf>
    <xf numFmtId="166" fontId="24" fillId="0" borderId="21" xfId="71" applyNumberFormat="1" applyFont="1" applyBorder="1" applyAlignment="1">
      <alignment horizontal="center"/>
    </xf>
    <xf numFmtId="0" fontId="24" fillId="0" borderId="21" xfId="0" applyFont="1" applyBorder="1" applyAlignment="1">
      <alignment vertical="center" wrapText="1"/>
    </xf>
    <xf numFmtId="0" fontId="24" fillId="0" borderId="21" xfId="0" applyFont="1" applyBorder="1" applyAlignment="1">
      <alignment horizontal="left" vertical="center" wrapText="1"/>
    </xf>
    <xf numFmtId="0" fontId="24" fillId="0" borderId="20" xfId="0" applyFont="1" applyBorder="1" applyAlignment="1">
      <alignment vertical="top" wrapText="1"/>
    </xf>
    <xf numFmtId="0" fontId="24" fillId="0" borderId="20" xfId="0" applyFont="1" applyBorder="1" applyAlignment="1">
      <alignment horizontal="center" vertical="top" wrapText="1"/>
    </xf>
    <xf numFmtId="169" fontId="15" fillId="0" borderId="20" xfId="0" applyNumberFormat="1" applyFont="1" applyBorder="1" applyAlignment="1">
      <alignment horizontal="center" vertical="center" wrapText="1"/>
    </xf>
    <xf numFmtId="175" fontId="24" fillId="0" borderId="20" xfId="0" applyNumberFormat="1" applyFont="1" applyBorder="1" applyAlignment="1">
      <alignment horizontal="center" vertical="center" wrapText="1"/>
    </xf>
    <xf numFmtId="174" fontId="24" fillId="0" borderId="21" xfId="0" applyNumberFormat="1" applyFont="1" applyFill="1" applyBorder="1" applyAlignment="1">
      <alignment horizontal="center" vertical="center" wrapText="1"/>
    </xf>
    <xf numFmtId="169" fontId="15" fillId="0" borderId="21" xfId="0" applyNumberFormat="1" applyFont="1" applyFill="1" applyBorder="1" applyAlignment="1">
      <alignment horizontal="center" vertical="center"/>
    </xf>
    <xf numFmtId="0" fontId="24" fillId="0" borderId="21" xfId="0" applyFont="1" applyFill="1" applyBorder="1" applyAlignment="1">
      <alignment horizontal="center" vertical="center" wrapText="1"/>
    </xf>
    <xf numFmtId="166" fontId="24" fillId="0" borderId="21" xfId="71" applyNumberFormat="1" applyFont="1" applyFill="1" applyBorder="1" applyAlignment="1">
      <alignment horizontal="center"/>
    </xf>
    <xf numFmtId="0" fontId="24" fillId="0" borderId="21" xfId="0" applyFont="1" applyFill="1" applyBorder="1" applyAlignment="1">
      <alignment horizontal="center"/>
    </xf>
    <xf numFmtId="0" fontId="24" fillId="0" borderId="21" xfId="0" applyFont="1" applyFill="1" applyBorder="1" applyAlignment="1">
      <alignment horizontal="left" vertical="center" wrapText="1"/>
    </xf>
    <xf numFmtId="0" fontId="24" fillId="0" borderId="21" xfId="0" applyFont="1" applyFill="1" applyBorder="1" applyAlignment="1">
      <alignment vertical="center" wrapText="1"/>
    </xf>
    <xf numFmtId="0" fontId="24" fillId="0" borderId="21" xfId="0" applyFont="1" applyBorder="1" applyAlignment="1">
      <alignment vertical="top" wrapText="1"/>
    </xf>
    <xf numFmtId="169" fontId="15" fillId="0" borderId="21" xfId="0" applyNumberFormat="1" applyFont="1" applyFill="1" applyBorder="1" applyAlignment="1">
      <alignment horizontal="center" vertical="center" wrapText="1"/>
    </xf>
    <xf numFmtId="176" fontId="15" fillId="33" borderId="24" xfId="0" applyNumberFormat="1" applyFont="1" applyFill="1" applyBorder="1" applyAlignment="1">
      <alignment horizontal="center" vertical="center"/>
    </xf>
    <xf numFmtId="169" fontId="15" fillId="33" borderId="21" xfId="0" applyNumberFormat="1" applyFont="1" applyFill="1" applyBorder="1" applyAlignment="1">
      <alignment horizontal="center" vertical="center" wrapText="1"/>
    </xf>
    <xf numFmtId="0" fontId="24" fillId="0" borderId="21" xfId="0" applyFont="1" applyBorder="1" applyAlignment="1">
      <alignment horizontal="center" vertical="top" wrapText="1"/>
    </xf>
    <xf numFmtId="0" fontId="24" fillId="0" borderId="21" xfId="0" applyFont="1" applyFill="1" applyBorder="1" applyAlignment="1">
      <alignment horizontal="center" vertical="top" wrapText="1"/>
    </xf>
    <xf numFmtId="175" fontId="24" fillId="0" borderId="21" xfId="0" applyNumberFormat="1" applyFont="1" applyFill="1" applyBorder="1" applyAlignment="1">
      <alignment horizontal="center" vertical="center" wrapText="1"/>
    </xf>
    <xf numFmtId="0" fontId="62" fillId="32" borderId="39" xfId="0" applyFont="1" applyFill="1" applyBorder="1" applyAlignment="1">
      <alignment horizontal="center" vertical="center" wrapText="1"/>
    </xf>
    <xf numFmtId="169" fontId="62" fillId="32" borderId="39" xfId="0" applyNumberFormat="1" applyFont="1" applyFill="1" applyBorder="1" applyAlignment="1">
      <alignment horizontal="center" vertical="center" wrapText="1"/>
    </xf>
    <xf numFmtId="169" fontId="24" fillId="0" borderId="21" xfId="0" applyNumberFormat="1" applyFont="1" applyFill="1" applyBorder="1" applyAlignment="1">
      <alignment horizontal="center" vertical="center"/>
    </xf>
    <xf numFmtId="171" fontId="24" fillId="0" borderId="21" xfId="41" applyNumberFormat="1" applyFont="1" applyFill="1" applyBorder="1" applyAlignment="1">
      <alignment horizontal="center" vertical="center" wrapText="1"/>
    </xf>
    <xf numFmtId="165" fontId="24" fillId="0" borderId="21" xfId="41" applyNumberFormat="1" applyFont="1" applyFill="1" applyBorder="1" applyAlignment="1">
      <alignment horizontal="center" vertical="center" wrapText="1"/>
    </xf>
    <xf numFmtId="164" fontId="24" fillId="0" borderId="21" xfId="0" applyNumberFormat="1" applyFont="1" applyFill="1" applyBorder="1" applyAlignment="1">
      <alignment horizontal="center" vertical="center" wrapText="1"/>
    </xf>
    <xf numFmtId="166" fontId="24" fillId="0" borderId="21" xfId="0" applyNumberFormat="1" applyFont="1" applyBorder="1"/>
    <xf numFmtId="0" fontId="0" fillId="0" borderId="0" xfId="0" applyAlignment="1">
      <alignment horizontal="center"/>
    </xf>
    <xf numFmtId="0" fontId="10" fillId="31" borderId="0" xfId="0" applyFont="1" applyFill="1" applyAlignment="1"/>
    <xf numFmtId="0" fontId="23" fillId="31" borderId="0" xfId="0" applyFont="1" applyFill="1" applyBorder="1" applyAlignment="1">
      <alignment horizontal="center"/>
    </xf>
    <xf numFmtId="0" fontId="10" fillId="31" borderId="0" xfId="0" applyFont="1" applyFill="1" applyBorder="1"/>
    <xf numFmtId="0" fontId="33" fillId="31" borderId="0" xfId="0" applyFont="1" applyFill="1" applyBorder="1"/>
    <xf numFmtId="0" fontId="25" fillId="31" borderId="0" xfId="0" applyFont="1" applyFill="1" applyBorder="1"/>
    <xf numFmtId="3" fontId="72" fillId="32" borderId="44" xfId="0" applyNumberFormat="1" applyFont="1" applyFill="1" applyBorder="1" applyAlignment="1">
      <alignment horizontal="center" vertical="center" wrapText="1"/>
    </xf>
    <xf numFmtId="3" fontId="72" fillId="32" borderId="45" xfId="0" applyNumberFormat="1" applyFont="1" applyFill="1" applyBorder="1" applyAlignment="1">
      <alignment horizontal="center" vertical="center" wrapText="1"/>
    </xf>
    <xf numFmtId="3" fontId="72" fillId="32" borderId="46" xfId="0" applyNumberFormat="1" applyFont="1" applyFill="1" applyBorder="1" applyAlignment="1">
      <alignment horizontal="center" vertical="center" wrapText="1"/>
    </xf>
    <xf numFmtId="3" fontId="73" fillId="0" borderId="41" xfId="0" applyNumberFormat="1" applyFont="1" applyBorder="1"/>
    <xf numFmtId="3" fontId="73" fillId="0" borderId="42" xfId="0" applyNumberFormat="1" applyFont="1" applyBorder="1"/>
    <xf numFmtId="169" fontId="73" fillId="0" borderId="43" xfId="0" applyNumberFormat="1" applyFont="1" applyBorder="1" applyAlignment="1">
      <alignment horizontal="right"/>
    </xf>
    <xf numFmtId="9" fontId="73" fillId="0" borderId="41" xfId="0" applyNumberFormat="1" applyFont="1" applyFill="1" applyBorder="1" applyAlignment="1">
      <alignment horizontal="center"/>
    </xf>
    <xf numFmtId="9" fontId="73" fillId="0" borderId="41" xfId="0" applyNumberFormat="1" applyFont="1" applyBorder="1" applyAlignment="1">
      <alignment horizontal="center"/>
    </xf>
    <xf numFmtId="3" fontId="74" fillId="33" borderId="41" xfId="0" applyNumberFormat="1" applyFont="1" applyFill="1" applyBorder="1" applyAlignment="1">
      <alignment horizontal="right"/>
    </xf>
    <xf numFmtId="3" fontId="74" fillId="33" borderId="42" xfId="0" applyNumberFormat="1" applyFont="1" applyFill="1" applyBorder="1" applyAlignment="1">
      <alignment horizontal="right"/>
    </xf>
    <xf numFmtId="169" fontId="74" fillId="33" borderId="43" xfId="0" applyNumberFormat="1" applyFont="1" applyFill="1" applyBorder="1" applyAlignment="1">
      <alignment horizontal="right"/>
    </xf>
    <xf numFmtId="9" fontId="74" fillId="33" borderId="41" xfId="0" applyNumberFormat="1" applyFont="1" applyFill="1" applyBorder="1" applyAlignment="1">
      <alignment horizontal="center"/>
    </xf>
    <xf numFmtId="9" fontId="73" fillId="0" borderId="41" xfId="0" applyNumberFormat="1" applyFont="1" applyBorder="1"/>
    <xf numFmtId="9" fontId="73" fillId="0" borderId="41" xfId="0" applyNumberFormat="1" applyFont="1" applyBorder="1" applyAlignment="1">
      <alignment horizontal="right"/>
    </xf>
    <xf numFmtId="0" fontId="74" fillId="33" borderId="41" xfId="0" applyFont="1" applyFill="1" applyBorder="1" applyAlignment="1">
      <alignment horizontal="right"/>
    </xf>
    <xf numFmtId="0" fontId="74" fillId="33" borderId="42" xfId="0" applyFont="1" applyFill="1" applyBorder="1" applyAlignment="1">
      <alignment horizontal="right"/>
    </xf>
    <xf numFmtId="9" fontId="74" fillId="33" borderId="41" xfId="0" applyNumberFormat="1" applyFont="1" applyFill="1" applyBorder="1" applyAlignment="1">
      <alignment horizontal="right"/>
    </xf>
    <xf numFmtId="169" fontId="74" fillId="33" borderId="43" xfId="41" applyNumberFormat="1" applyFont="1" applyFill="1" applyBorder="1" applyAlignment="1">
      <alignment horizontal="right"/>
    </xf>
    <xf numFmtId="9" fontId="74" fillId="33" borderId="41" xfId="0" applyNumberFormat="1" applyFont="1" applyFill="1" applyBorder="1"/>
    <xf numFmtId="0" fontId="74" fillId="33" borderId="42" xfId="0" applyFont="1" applyFill="1" applyBorder="1" applyAlignment="1">
      <alignment horizontal="left"/>
    </xf>
    <xf numFmtId="169" fontId="74" fillId="33" borderId="43" xfId="41" applyNumberFormat="1" applyFont="1" applyFill="1" applyBorder="1"/>
    <xf numFmtId="0" fontId="73" fillId="0" borderId="0" xfId="0" applyFont="1"/>
    <xf numFmtId="0" fontId="74" fillId="0" borderId="0" xfId="0" applyFont="1" applyBorder="1" applyAlignment="1">
      <alignment horizontal="left"/>
    </xf>
    <xf numFmtId="169" fontId="73" fillId="0" borderId="0" xfId="41" applyNumberFormat="1" applyFont="1" applyBorder="1"/>
    <xf numFmtId="0" fontId="73" fillId="0" borderId="0" xfId="0" applyFont="1" applyBorder="1" applyAlignment="1">
      <alignment horizontal="left"/>
    </xf>
    <xf numFmtId="166" fontId="73" fillId="0" borderId="0" xfId="71" applyNumberFormat="1" applyFont="1" applyBorder="1"/>
    <xf numFmtId="166" fontId="73" fillId="0" borderId="0" xfId="0" applyNumberFormat="1" applyFont="1" applyBorder="1" applyAlignment="1">
      <alignment horizontal="right"/>
    </xf>
    <xf numFmtId="166" fontId="73" fillId="0" borderId="0" xfId="0" applyNumberFormat="1" applyFont="1" applyBorder="1"/>
    <xf numFmtId="0" fontId="77" fillId="32" borderId="0" xfId="57" applyFont="1" applyFill="1"/>
    <xf numFmtId="0" fontId="72" fillId="32" borderId="13" xfId="57" applyFont="1" applyFill="1" applyBorder="1" applyAlignment="1">
      <alignment horizontal="center"/>
    </xf>
    <xf numFmtId="0" fontId="72" fillId="32" borderId="38" xfId="57" applyFont="1" applyFill="1" applyBorder="1" applyAlignment="1">
      <alignment horizontal="center"/>
    </xf>
    <xf numFmtId="0" fontId="72" fillId="32" borderId="37" xfId="57" applyFont="1" applyFill="1" applyBorder="1" applyAlignment="1">
      <alignment horizontal="center"/>
    </xf>
    <xf numFmtId="0" fontId="73" fillId="0" borderId="21" xfId="57" applyFont="1" applyFill="1" applyBorder="1" applyAlignment="1">
      <alignment horizontal="left"/>
    </xf>
    <xf numFmtId="9" fontId="78" fillId="0" borderId="21" xfId="57" applyNumberFormat="1" applyFont="1" applyBorder="1" applyAlignment="1">
      <alignment horizontal="center"/>
    </xf>
    <xf numFmtId="0" fontId="73" fillId="0" borderId="21" xfId="57" applyFont="1" applyFill="1" applyBorder="1"/>
    <xf numFmtId="3" fontId="72" fillId="32" borderId="41" xfId="0" applyNumberFormat="1" applyFont="1" applyFill="1" applyBorder="1" applyAlignment="1">
      <alignment horizontal="center" vertical="center" wrapText="1"/>
    </xf>
    <xf numFmtId="169" fontId="73" fillId="0" borderId="43" xfId="0" applyNumberFormat="1" applyFont="1" applyFill="1" applyBorder="1" applyAlignment="1">
      <alignment horizontal="right"/>
    </xf>
    <xf numFmtId="9" fontId="73" fillId="33" borderId="41" xfId="0" applyNumberFormat="1" applyFont="1" applyFill="1" applyBorder="1" applyAlignment="1">
      <alignment horizontal="right"/>
    </xf>
    <xf numFmtId="9" fontId="73" fillId="33" borderId="41" xfId="0" applyNumberFormat="1" applyFont="1" applyFill="1" applyBorder="1"/>
    <xf numFmtId="0" fontId="74" fillId="33" borderId="41" xfId="0" applyFont="1" applyFill="1" applyBorder="1" applyAlignment="1">
      <alignment horizontal="left"/>
    </xf>
    <xf numFmtId="42" fontId="73" fillId="0" borderId="43" xfId="0" applyNumberFormat="1" applyFont="1" applyBorder="1" applyAlignment="1">
      <alignment horizontal="right"/>
    </xf>
    <xf numFmtId="42" fontId="74" fillId="33" borderId="43" xfId="0" applyNumberFormat="1" applyFont="1" applyFill="1" applyBorder="1" applyAlignment="1">
      <alignment horizontal="right"/>
    </xf>
    <xf numFmtId="0" fontId="72" fillId="32" borderId="41" xfId="0" applyFont="1" applyFill="1" applyBorder="1" applyAlignment="1">
      <alignment horizontal="center" wrapText="1"/>
    </xf>
    <xf numFmtId="9" fontId="79" fillId="0" borderId="41" xfId="0" applyNumberFormat="1" applyFont="1" applyBorder="1" applyAlignment="1">
      <alignment horizontal="center"/>
    </xf>
    <xf numFmtId="0" fontId="72" fillId="32" borderId="41" xfId="0" applyFont="1" applyFill="1" applyBorder="1" applyAlignment="1">
      <alignment horizontal="center"/>
    </xf>
    <xf numFmtId="0" fontId="73" fillId="0" borderId="41" xfId="0" applyFont="1" applyBorder="1" applyAlignment="1">
      <alignment horizontal="left"/>
    </xf>
    <xf numFmtId="5" fontId="24" fillId="0" borderId="19" xfId="41" applyNumberFormat="1" applyFont="1" applyFill="1" applyBorder="1" applyAlignment="1">
      <alignment horizontal="right" vertical="center" wrapText="1"/>
    </xf>
    <xf numFmtId="0" fontId="24" fillId="0" borderId="24" xfId="0" applyFont="1" applyBorder="1" applyAlignment="1">
      <alignment horizontal="right" vertical="center" wrapText="1"/>
    </xf>
    <xf numFmtId="171" fontId="24" fillId="0" borderId="19" xfId="41" applyNumberFormat="1" applyFont="1" applyFill="1" applyBorder="1" applyAlignment="1">
      <alignment horizontal="right" vertical="center" wrapText="1"/>
    </xf>
    <xf numFmtId="171" fontId="24" fillId="0" borderId="24" xfId="41" applyNumberFormat="1" applyFont="1" applyFill="1" applyBorder="1" applyAlignment="1">
      <alignment horizontal="center" vertical="center" wrapText="1"/>
    </xf>
    <xf numFmtId="169" fontId="3" fillId="31" borderId="0" xfId="0" applyNumberFormat="1" applyFont="1" applyFill="1"/>
    <xf numFmtId="169" fontId="0" fillId="31" borderId="0" xfId="0" applyNumberFormat="1" applyFill="1"/>
    <xf numFmtId="0" fontId="62" fillId="32" borderId="12" xfId="0" applyFont="1" applyFill="1" applyBorder="1" applyAlignment="1">
      <alignment horizontal="center" wrapText="1"/>
    </xf>
    <xf numFmtId="0" fontId="62" fillId="32" borderId="12" xfId="0" applyFont="1" applyFill="1" applyBorder="1" applyAlignment="1">
      <alignment horizontal="center" wrapText="1"/>
    </xf>
    <xf numFmtId="0" fontId="0" fillId="0" borderId="0" xfId="0" applyAlignment="1"/>
    <xf numFmtId="0" fontId="2" fillId="0" borderId="0" xfId="0" applyFont="1" applyAlignment="1">
      <alignment wrapText="1"/>
    </xf>
    <xf numFmtId="0" fontId="24" fillId="0" borderId="21" xfId="0" applyFont="1" applyFill="1" applyBorder="1" applyAlignment="1">
      <alignment horizontal="center" vertical="center" wrapText="1"/>
    </xf>
    <xf numFmtId="169" fontId="24" fillId="0" borderId="21" xfId="0" applyNumberFormat="1" applyFont="1" applyFill="1" applyBorder="1" applyAlignment="1">
      <alignment horizontal="center" vertical="center" wrapText="1"/>
    </xf>
    <xf numFmtId="169" fontId="15" fillId="0" borderId="20" xfId="0" applyNumberFormat="1" applyFont="1" applyFill="1" applyBorder="1" applyAlignment="1">
      <alignment horizontal="center" vertical="center" wrapText="1"/>
    </xf>
    <xf numFmtId="0" fontId="24" fillId="0" borderId="20" xfId="35" applyNumberFormat="1"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21" xfId="0" applyFont="1" applyFill="1" applyBorder="1" applyAlignment="1">
      <alignment horizontal="center" vertical="center" wrapText="1"/>
    </xf>
    <xf numFmtId="169" fontId="15" fillId="0" borderId="21" xfId="0" applyNumberFormat="1" applyFont="1" applyBorder="1" applyAlignment="1">
      <alignment horizontal="center" vertical="center" wrapText="1"/>
    </xf>
    <xf numFmtId="169" fontId="15" fillId="0" borderId="18" xfId="0" applyNumberFormat="1" applyFont="1" applyFill="1" applyBorder="1" applyAlignment="1">
      <alignment horizontal="center" vertical="center" wrapText="1"/>
    </xf>
    <xf numFmtId="0" fontId="24" fillId="0" borderId="21" xfId="35" applyNumberFormat="1"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169" fontId="24" fillId="0" borderId="12" xfId="0" applyNumberFormat="1" applyFont="1" applyBorder="1" applyAlignment="1">
      <alignment horizontal="center" vertical="center" wrapText="1"/>
    </xf>
    <xf numFmtId="174" fontId="24" fillId="0" borderId="17" xfId="0" applyNumberFormat="1" applyFont="1" applyFill="1" applyBorder="1" applyAlignment="1">
      <alignment horizontal="center" vertical="center"/>
    </xf>
    <xf numFmtId="189" fontId="24" fillId="0" borderId="20" xfId="0" applyNumberFormat="1" applyFont="1" applyFill="1" applyBorder="1" applyAlignment="1">
      <alignment horizontal="center" vertical="center"/>
    </xf>
    <xf numFmtId="174" fontId="0" fillId="0" borderId="0" xfId="0" applyNumberFormat="1"/>
    <xf numFmtId="0" fontId="0" fillId="34" borderId="0" xfId="0" applyFill="1"/>
    <xf numFmtId="3" fontId="3" fillId="0" borderId="0" xfId="0" quotePrefix="1" applyNumberFormat="1" applyFont="1" applyAlignment="1">
      <alignment horizontal="right"/>
    </xf>
    <xf numFmtId="9" fontId="3" fillId="31" borderId="0" xfId="0" applyNumberFormat="1" applyFont="1" applyFill="1"/>
    <xf numFmtId="9" fontId="0" fillId="31" borderId="0" xfId="0" applyNumberFormat="1" applyFill="1"/>
    <xf numFmtId="9" fontId="10" fillId="0" borderId="0" xfId="35" applyNumberFormat="1" applyFont="1"/>
    <xf numFmtId="0" fontId="0" fillId="0" borderId="0" xfId="0" applyAlignment="1"/>
    <xf numFmtId="9" fontId="6" fillId="0" borderId="0" xfId="0" applyNumberFormat="1" applyFont="1" applyAlignment="1">
      <alignment horizontal="center"/>
    </xf>
    <xf numFmtId="0" fontId="6" fillId="0" borderId="0" xfId="0" applyFont="1" applyAlignment="1">
      <alignment horizontal="center"/>
    </xf>
    <xf numFmtId="165" fontId="9" fillId="31" borderId="0" xfId="0" applyNumberFormat="1" applyFont="1" applyFill="1"/>
    <xf numFmtId="9" fontId="9" fillId="0" borderId="0" xfId="0" applyNumberFormat="1" applyFont="1"/>
    <xf numFmtId="0" fontId="24" fillId="0" borderId="21" xfId="0" applyFont="1" applyFill="1" applyBorder="1" applyAlignment="1">
      <alignment horizontal="left"/>
    </xf>
    <xf numFmtId="0" fontId="24" fillId="0" borderId="21" xfId="57" applyFont="1" applyBorder="1" applyAlignment="1">
      <alignment horizontal="left"/>
    </xf>
    <xf numFmtId="165" fontId="24" fillId="0" borderId="21" xfId="57" applyNumberFormat="1" applyFont="1" applyBorder="1"/>
    <xf numFmtId="0" fontId="0" fillId="0" borderId="0" xfId="0" applyAlignment="1"/>
    <xf numFmtId="9" fontId="6" fillId="0" borderId="0" xfId="0" applyNumberFormat="1" applyFont="1" applyAlignment="1">
      <alignment horizontal="center"/>
    </xf>
    <xf numFmtId="0" fontId="6" fillId="0" borderId="0" xfId="0" applyFont="1" applyAlignment="1">
      <alignment horizontal="center"/>
    </xf>
    <xf numFmtId="0" fontId="32" fillId="0" borderId="0" xfId="58" applyFont="1" applyAlignment="1">
      <alignment horizontal="center"/>
    </xf>
    <xf numFmtId="0" fontId="24" fillId="0" borderId="21" xfId="0" applyFont="1" applyFill="1" applyBorder="1" applyAlignment="1">
      <alignment horizontal="left"/>
    </xf>
    <xf numFmtId="166" fontId="15" fillId="0" borderId="0" xfId="0" applyNumberFormat="1" applyFont="1" applyBorder="1"/>
    <xf numFmtId="0" fontId="24" fillId="0" borderId="21" xfId="0" applyFont="1" applyBorder="1" applyAlignment="1">
      <alignment horizontal="left"/>
    </xf>
    <xf numFmtId="0" fontId="24" fillId="0" borderId="21" xfId="0" applyFont="1" applyFill="1" applyBorder="1" applyAlignment="1">
      <alignment horizontal="left"/>
    </xf>
    <xf numFmtId="0" fontId="69" fillId="0" borderId="0" xfId="0" applyFont="1" applyAlignment="1">
      <alignment horizontal="center"/>
    </xf>
    <xf numFmtId="0" fontId="69" fillId="0" borderId="0" xfId="0" applyFont="1" applyBorder="1" applyAlignment="1">
      <alignment horizontal="center"/>
    </xf>
    <xf numFmtId="0" fontId="62" fillId="32" borderId="12" xfId="0" applyFont="1" applyFill="1" applyBorder="1" applyAlignment="1">
      <alignment horizontal="center" wrapText="1"/>
    </xf>
    <xf numFmtId="3" fontId="72" fillId="32" borderId="45" xfId="0" applyNumberFormat="1" applyFont="1" applyFill="1" applyBorder="1" applyAlignment="1">
      <alignment horizontal="center" vertical="center" wrapText="1"/>
    </xf>
    <xf numFmtId="0" fontId="0" fillId="0" borderId="0" xfId="0" applyAlignment="1"/>
    <xf numFmtId="0" fontId="69" fillId="0" borderId="0" xfId="0" applyFont="1" applyAlignment="1">
      <alignment horizontal="center"/>
    </xf>
    <xf numFmtId="168" fontId="15" fillId="0" borderId="0" xfId="41" applyNumberFormat="1" applyFont="1" applyFill="1" applyBorder="1" applyAlignment="1">
      <alignment horizontal="center"/>
    </xf>
    <xf numFmtId="165" fontId="15" fillId="0" borderId="0" xfId="41" applyNumberFormat="1" applyFont="1" applyFill="1" applyBorder="1" applyAlignment="1">
      <alignment horizontal="center"/>
    </xf>
    <xf numFmtId="0" fontId="15" fillId="0" borderId="0" xfId="0" applyFont="1" applyFill="1" applyBorder="1" applyAlignment="1">
      <alignment horizontal="center"/>
    </xf>
    <xf numFmtId="0" fontId="33" fillId="0" borderId="0" xfId="0" applyFont="1" applyFill="1" applyBorder="1"/>
    <xf numFmtId="0" fontId="25" fillId="0" borderId="0" xfId="0" applyFont="1" applyFill="1" applyBorder="1"/>
    <xf numFmtId="169" fontId="3" fillId="0" borderId="0" xfId="0" applyNumberFormat="1" applyFont="1" applyBorder="1"/>
    <xf numFmtId="0" fontId="24" fillId="0" borderId="21" xfId="0" applyFont="1" applyFill="1" applyBorder="1" applyAlignment="1">
      <alignment horizontal="left"/>
    </xf>
    <xf numFmtId="0" fontId="3" fillId="0" borderId="0" xfId="0" applyFont="1" applyFill="1" applyAlignment="1">
      <alignment horizontal="center"/>
    </xf>
    <xf numFmtId="0" fontId="19" fillId="0" borderId="0" xfId="0" applyFont="1" applyFill="1" applyAlignment="1">
      <alignment horizontal="center"/>
    </xf>
    <xf numFmtId="0" fontId="24" fillId="0" borderId="0" xfId="0" applyFont="1" applyFill="1" applyAlignment="1">
      <alignment horizontal="center"/>
    </xf>
    <xf numFmtId="169" fontId="24" fillId="0" borderId="21" xfId="0" applyNumberFormat="1" applyFont="1" applyFill="1" applyBorder="1" applyAlignment="1">
      <alignment horizontal="center" vertical="center"/>
    </xf>
    <xf numFmtId="0" fontId="0" fillId="0" borderId="0" xfId="0" applyAlignment="1">
      <alignment wrapText="1"/>
    </xf>
    <xf numFmtId="0" fontId="0" fillId="0" borderId="0" xfId="0" applyAlignment="1">
      <alignment horizontal="center"/>
    </xf>
    <xf numFmtId="0" fontId="24" fillId="0" borderId="21" xfId="0" applyFont="1" applyFill="1" applyBorder="1" applyAlignment="1">
      <alignment horizontal="center"/>
    </xf>
    <xf numFmtId="0" fontId="24" fillId="0" borderId="21" xfId="0" applyFont="1" applyBorder="1" applyAlignment="1">
      <alignment horizontal="center" vertical="center" wrapText="1"/>
    </xf>
    <xf numFmtId="0" fontId="24" fillId="0" borderId="21" xfId="0" applyFont="1" applyFill="1" applyBorder="1" applyAlignment="1">
      <alignment horizontal="center" vertical="center" wrapText="1"/>
    </xf>
    <xf numFmtId="169" fontId="15" fillId="0" borderId="21" xfId="0" applyNumberFormat="1" applyFont="1" applyBorder="1" applyAlignment="1">
      <alignment horizontal="center" vertical="center" wrapText="1"/>
    </xf>
    <xf numFmtId="169" fontId="15" fillId="0" borderId="21" xfId="0" applyNumberFormat="1" applyFont="1" applyFill="1" applyBorder="1" applyAlignment="1">
      <alignment horizontal="center" vertical="center"/>
    </xf>
    <xf numFmtId="0" fontId="24" fillId="0" borderId="21" xfId="0" applyFont="1" applyFill="1" applyBorder="1" applyAlignment="1">
      <alignment horizontal="center" vertical="top" wrapText="1"/>
    </xf>
    <xf numFmtId="164" fontId="24" fillId="0" borderId="21" xfId="0" applyNumberFormat="1" applyFont="1" applyFill="1" applyBorder="1" applyAlignment="1">
      <alignment horizontal="center" vertical="center" wrapText="1"/>
    </xf>
    <xf numFmtId="0" fontId="24" fillId="0" borderId="20" xfId="0" applyFont="1" applyBorder="1" applyAlignment="1">
      <alignment horizontal="center" vertical="center" wrapText="1"/>
    </xf>
    <xf numFmtId="169" fontId="15" fillId="0" borderId="20" xfId="0" applyNumberFormat="1" applyFont="1" applyBorder="1" applyAlignment="1">
      <alignment horizontal="center" vertical="center" wrapText="1"/>
    </xf>
    <xf numFmtId="0" fontId="3" fillId="0" borderId="0" xfId="0" applyFont="1" applyAlignment="1">
      <alignment horizontal="center"/>
    </xf>
    <xf numFmtId="0" fontId="24" fillId="0" borderId="20" xfId="0" applyFont="1" applyBorder="1" applyAlignment="1">
      <alignment horizontal="center" vertical="top" wrapText="1"/>
    </xf>
    <xf numFmtId="174" fontId="24" fillId="0" borderId="21" xfId="0" applyNumberFormat="1" applyFont="1" applyFill="1" applyBorder="1" applyAlignment="1">
      <alignment horizontal="center" vertical="center" wrapText="1"/>
    </xf>
    <xf numFmtId="165" fontId="24" fillId="0" borderId="21" xfId="41" applyNumberFormat="1" applyFont="1" applyFill="1" applyBorder="1" applyAlignment="1">
      <alignment horizontal="center" vertical="center" wrapText="1"/>
    </xf>
    <xf numFmtId="169" fontId="15" fillId="0" borderId="20" xfId="0" applyNumberFormat="1" applyFont="1" applyFill="1" applyBorder="1" applyAlignment="1">
      <alignment horizontal="center" vertical="center" wrapText="1"/>
    </xf>
    <xf numFmtId="169" fontId="15" fillId="0" borderId="18" xfId="0" applyNumberFormat="1" applyFont="1" applyFill="1" applyBorder="1" applyAlignment="1">
      <alignment horizontal="center" vertical="center" wrapText="1"/>
    </xf>
    <xf numFmtId="0" fontId="24" fillId="0" borderId="20" xfId="35" applyNumberFormat="1" applyFont="1" applyFill="1" applyBorder="1" applyAlignment="1">
      <alignment horizontal="center" vertical="center" wrapText="1"/>
    </xf>
    <xf numFmtId="169" fontId="15" fillId="0" borderId="21" xfId="0" applyNumberFormat="1" applyFont="1" applyFill="1" applyBorder="1" applyAlignment="1">
      <alignment horizontal="center" vertical="center" wrapText="1"/>
    </xf>
    <xf numFmtId="0" fontId="24" fillId="0" borderId="21" xfId="35" applyNumberFormat="1" applyFont="1" applyFill="1" applyBorder="1" applyAlignment="1">
      <alignment horizontal="center" vertical="center" wrapText="1"/>
    </xf>
    <xf numFmtId="0" fontId="24" fillId="0" borderId="21" xfId="0" applyFont="1" applyBorder="1" applyAlignment="1">
      <alignment horizontal="center" vertical="top" wrapText="1"/>
    </xf>
    <xf numFmtId="0" fontId="15" fillId="0" borderId="0" xfId="0" applyFont="1" applyAlignment="1">
      <alignment horizontal="center" vertical="top" wrapText="1"/>
    </xf>
    <xf numFmtId="0" fontId="62" fillId="32" borderId="39" xfId="0" applyFont="1" applyFill="1" applyBorder="1" applyAlignment="1">
      <alignment horizontal="center" vertical="center" wrapText="1"/>
    </xf>
    <xf numFmtId="175" fontId="24" fillId="0" borderId="21" xfId="0" applyNumberFormat="1" applyFont="1" applyFill="1" applyBorder="1" applyAlignment="1">
      <alignment horizontal="center" vertical="center" wrapText="1"/>
    </xf>
    <xf numFmtId="0" fontId="15" fillId="0" borderId="0" xfId="0" applyFont="1" applyFill="1" applyBorder="1" applyAlignment="1">
      <alignment horizontal="left"/>
    </xf>
    <xf numFmtId="166" fontId="24" fillId="0" borderId="0" xfId="0" applyNumberFormat="1" applyFont="1" applyAlignment="1">
      <alignment horizontal="center" vertical="center" wrapText="1"/>
    </xf>
    <xf numFmtId="0" fontId="76" fillId="0" borderId="0" xfId="0" applyFont="1" applyAlignment="1">
      <alignment horizontal="center" vertical="center" wrapText="1"/>
    </xf>
    <xf numFmtId="9" fontId="3" fillId="0" borderId="0" xfId="71" applyFont="1"/>
    <xf numFmtId="9" fontId="0" fillId="0" borderId="0" xfId="71" applyFont="1"/>
    <xf numFmtId="3" fontId="2" fillId="0" borderId="0" xfId="0" applyNumberFormat="1" applyFont="1"/>
    <xf numFmtId="169" fontId="2" fillId="0" borderId="0" xfId="0" applyNumberFormat="1" applyFont="1"/>
    <xf numFmtId="185" fontId="3" fillId="0" borderId="0" xfId="0" applyNumberFormat="1" applyFont="1"/>
    <xf numFmtId="185" fontId="0" fillId="0" borderId="0" xfId="0" applyNumberFormat="1"/>
    <xf numFmtId="3" fontId="8" fillId="0" borderId="0" xfId="0" applyNumberFormat="1" applyFont="1"/>
    <xf numFmtId="169" fontId="8" fillId="0" borderId="0" xfId="0" applyNumberFormat="1" applyFont="1"/>
    <xf numFmtId="185" fontId="8" fillId="0" borderId="0" xfId="0" applyNumberFormat="1" applyFont="1"/>
    <xf numFmtId="0" fontId="62" fillId="32" borderId="0" xfId="0" applyFont="1" applyFill="1" applyBorder="1" applyAlignment="1">
      <alignment horizontal="center" vertical="top" wrapText="1"/>
    </xf>
    <xf numFmtId="169" fontId="62" fillId="32" borderId="0" xfId="0" applyNumberFormat="1" applyFont="1" applyFill="1" applyBorder="1" applyAlignment="1">
      <alignment horizontal="center" vertical="center" wrapText="1"/>
    </xf>
    <xf numFmtId="0" fontId="22" fillId="0" borderId="0" xfId="0" applyFont="1" applyBorder="1" applyAlignment="1">
      <alignment horizontal="center" vertical="top" wrapText="1"/>
    </xf>
    <xf numFmtId="169" fontId="62" fillId="32" borderId="0" xfId="0" applyNumberFormat="1" applyFont="1" applyFill="1" applyBorder="1" applyAlignment="1">
      <alignment horizontal="center" vertical="top" wrapText="1"/>
    </xf>
    <xf numFmtId="169" fontId="15" fillId="0" borderId="0" xfId="0" applyNumberFormat="1" applyFont="1" applyBorder="1" applyAlignment="1">
      <alignment horizontal="center" vertical="top" wrapText="1"/>
    </xf>
    <xf numFmtId="169" fontId="15" fillId="0" borderId="0" xfId="0" applyNumberFormat="1" applyFont="1" applyBorder="1" applyAlignment="1">
      <alignment horizontal="center" vertical="center" wrapText="1"/>
    </xf>
    <xf numFmtId="169" fontId="15" fillId="0" borderId="0" xfId="0" applyNumberFormat="1" applyFont="1" applyFill="1" applyBorder="1" applyAlignment="1">
      <alignment horizontal="center" vertical="center"/>
    </xf>
    <xf numFmtId="169" fontId="15" fillId="0" borderId="0" xfId="0" applyNumberFormat="1" applyFont="1" applyFill="1" applyBorder="1" applyAlignment="1">
      <alignment horizontal="center"/>
    </xf>
    <xf numFmtId="169" fontId="15" fillId="0" borderId="0" xfId="0" applyNumberFormat="1" applyFont="1" applyFill="1" applyBorder="1" applyAlignment="1">
      <alignment horizontal="center" vertical="top" wrapText="1"/>
    </xf>
    <xf numFmtId="169" fontId="15" fillId="0" borderId="0" xfId="0" applyNumberFormat="1" applyFont="1" applyFill="1" applyBorder="1" applyAlignment="1">
      <alignment horizontal="center" vertical="center" wrapText="1"/>
    </xf>
    <xf numFmtId="169" fontId="15" fillId="33" borderId="0" xfId="0" applyNumberFormat="1" applyFont="1" applyFill="1" applyBorder="1" applyAlignment="1">
      <alignment horizontal="center" vertical="center" wrapText="1"/>
    </xf>
    <xf numFmtId="169" fontId="10" fillId="0" borderId="0" xfId="0" applyNumberFormat="1" applyFont="1" applyBorder="1" applyAlignment="1">
      <alignment horizontal="center" vertical="top" wrapText="1"/>
    </xf>
    <xf numFmtId="185" fontId="24" fillId="0" borderId="21" xfId="0" applyNumberFormat="1" applyFont="1" applyBorder="1" applyAlignment="1">
      <alignment horizontal="center"/>
    </xf>
    <xf numFmtId="0" fontId="61" fillId="0" borderId="0" xfId="0" applyFont="1" applyFill="1"/>
    <xf numFmtId="0" fontId="24" fillId="0" borderId="21" xfId="0" applyFont="1" applyFill="1" applyBorder="1" applyAlignment="1">
      <alignment horizontal="center" vertical="center" wrapText="1"/>
    </xf>
    <xf numFmtId="174" fontId="24" fillId="0" borderId="21" xfId="0" applyNumberFormat="1" applyFont="1" applyFill="1" applyBorder="1" applyAlignment="1">
      <alignment horizontal="center" vertical="center"/>
    </xf>
    <xf numFmtId="169" fontId="15" fillId="0" borderId="21" xfId="0" applyNumberFormat="1" applyFont="1" applyFill="1" applyBorder="1" applyAlignment="1">
      <alignment horizontal="center" vertical="center"/>
    </xf>
    <xf numFmtId="174" fontId="24" fillId="0" borderId="21" xfId="0" applyNumberFormat="1" applyFont="1" applyFill="1" applyBorder="1" applyAlignment="1">
      <alignment horizontal="center" vertical="center" wrapText="1"/>
    </xf>
    <xf numFmtId="169" fontId="24" fillId="0" borderId="21" xfId="0" applyNumberFormat="1" applyFont="1" applyFill="1" applyBorder="1" applyAlignment="1">
      <alignment horizontal="center" vertical="center" wrapText="1"/>
    </xf>
    <xf numFmtId="5" fontId="15" fillId="0" borderId="20" xfId="0" applyNumberFormat="1" applyFont="1" applyBorder="1" applyAlignment="1">
      <alignment horizontal="center" vertical="center" wrapText="1"/>
    </xf>
    <xf numFmtId="3" fontId="24" fillId="0" borderId="21" xfId="71" applyNumberFormat="1" applyFont="1" applyBorder="1" applyAlignment="1">
      <alignment horizontal="center"/>
    </xf>
    <xf numFmtId="170" fontId="3" fillId="0" borderId="0" xfId="0" applyNumberFormat="1" applyFont="1"/>
    <xf numFmtId="0" fontId="0" fillId="0" borderId="0" xfId="0" applyAlignment="1">
      <alignment wrapText="1"/>
    </xf>
    <xf numFmtId="0" fontId="0" fillId="0" borderId="0" xfId="0" applyAlignment="1">
      <alignment horizontal="center"/>
    </xf>
    <xf numFmtId="0" fontId="24" fillId="0" borderId="21" xfId="0" applyFont="1" applyFill="1" applyBorder="1" applyAlignment="1">
      <alignment horizontal="center" vertical="center" wrapText="1"/>
    </xf>
    <xf numFmtId="174" fontId="24" fillId="0" borderId="21" xfId="0" applyNumberFormat="1" applyFont="1" applyFill="1" applyBorder="1" applyAlignment="1">
      <alignment horizontal="center" vertical="center"/>
    </xf>
    <xf numFmtId="169" fontId="15" fillId="0" borderId="21" xfId="0" applyNumberFormat="1" applyFont="1" applyFill="1" applyBorder="1" applyAlignment="1">
      <alignment horizontal="center" vertical="center"/>
    </xf>
    <xf numFmtId="0" fontId="24" fillId="0" borderId="21" xfId="0" applyFont="1" applyFill="1" applyBorder="1" applyAlignment="1">
      <alignment horizontal="center" vertical="top" wrapText="1"/>
    </xf>
    <xf numFmtId="169" fontId="15" fillId="0" borderId="20" xfId="0" applyNumberFormat="1" applyFont="1" applyBorder="1" applyAlignment="1">
      <alignment horizontal="center" vertical="center" wrapText="1"/>
    </xf>
    <xf numFmtId="0" fontId="24" fillId="0" borderId="21" xfId="0" applyFont="1" applyBorder="1" applyAlignment="1">
      <alignment horizontal="center" vertical="center" wrapText="1"/>
    </xf>
    <xf numFmtId="169" fontId="15" fillId="0" borderId="21" xfId="0" applyNumberFormat="1" applyFont="1" applyBorder="1" applyAlignment="1">
      <alignment horizontal="center" vertical="center" wrapText="1"/>
    </xf>
    <xf numFmtId="174" fontId="24" fillId="0" borderId="21" xfId="0" applyNumberFormat="1" applyFont="1" applyFill="1" applyBorder="1" applyAlignment="1">
      <alignment horizontal="center" vertical="center" wrapText="1"/>
    </xf>
    <xf numFmtId="169" fontId="24" fillId="0" borderId="21" xfId="0" applyNumberFormat="1" applyFont="1" applyFill="1" applyBorder="1" applyAlignment="1">
      <alignment horizontal="center" vertical="center" wrapText="1"/>
    </xf>
    <xf numFmtId="185" fontId="24" fillId="0" borderId="23" xfId="0" applyNumberFormat="1" applyFont="1" applyBorder="1" applyAlignment="1">
      <alignment horizontal="center" vertical="center"/>
    </xf>
    <xf numFmtId="164" fontId="24" fillId="0" borderId="21" xfId="0" applyNumberFormat="1" applyFont="1" applyBorder="1" applyAlignment="1">
      <alignment horizontal="center" vertical="center" wrapText="1"/>
    </xf>
    <xf numFmtId="0" fontId="24" fillId="0" borderId="12" xfId="0" applyFont="1" applyBorder="1" applyAlignment="1">
      <alignment horizontal="center" vertical="center" wrapText="1"/>
    </xf>
    <xf numFmtId="0" fontId="69" fillId="0" borderId="0" xfId="0" applyFont="1" applyAlignment="1">
      <alignment horizontal="left"/>
    </xf>
    <xf numFmtId="0" fontId="3" fillId="0" borderId="0" xfId="0" applyFont="1" applyAlignment="1">
      <alignment horizontal="center"/>
    </xf>
    <xf numFmtId="0" fontId="15" fillId="0" borderId="0" xfId="0" applyFont="1" applyAlignment="1">
      <alignment horizontal="center" vertical="top" wrapText="1"/>
    </xf>
    <xf numFmtId="0" fontId="24" fillId="0" borderId="0" xfId="0" applyNumberFormat="1" applyFont="1" applyFill="1" applyAlignment="1">
      <alignment horizontal="left" vertical="center" wrapText="1"/>
    </xf>
    <xf numFmtId="0" fontId="62" fillId="32" borderId="39" xfId="0" applyFont="1" applyFill="1" applyBorder="1" applyAlignment="1">
      <alignment horizontal="center" vertical="center" wrapText="1"/>
    </xf>
    <xf numFmtId="0" fontId="24" fillId="0" borderId="20" xfId="0" applyFont="1" applyBorder="1" applyAlignment="1">
      <alignment horizontal="center" vertical="top" wrapText="1"/>
    </xf>
    <xf numFmtId="49" fontId="62" fillId="32" borderId="20" xfId="0" applyNumberFormat="1" applyFont="1" applyFill="1" applyBorder="1" applyAlignment="1">
      <alignment horizontal="center" vertical="top" wrapText="1"/>
    </xf>
    <xf numFmtId="49" fontId="62" fillId="32" borderId="18" xfId="0" applyNumberFormat="1" applyFont="1" applyFill="1" applyBorder="1" applyAlignment="1">
      <alignment horizontal="center" vertical="top" wrapText="1"/>
    </xf>
    <xf numFmtId="0" fontId="24" fillId="0" borderId="18" xfId="0" applyFont="1" applyFill="1" applyBorder="1" applyAlignment="1">
      <alignment horizontal="center"/>
    </xf>
    <xf numFmtId="0" fontId="24" fillId="0" borderId="21" xfId="35" applyNumberFormat="1" applyFont="1" applyFill="1" applyBorder="1" applyAlignment="1">
      <alignment horizontal="center" vertical="center" wrapText="1"/>
    </xf>
    <xf numFmtId="0" fontId="24" fillId="0" borderId="20" xfId="0" applyFont="1" applyFill="1" applyBorder="1" applyAlignment="1">
      <alignment horizontal="center" vertical="center" wrapText="1"/>
    </xf>
    <xf numFmtId="0" fontId="0" fillId="0" borderId="24" xfId="0" applyBorder="1" applyAlignment="1">
      <alignment horizontal="center" vertical="center" wrapText="1"/>
    </xf>
    <xf numFmtId="169" fontId="15" fillId="0" borderId="21" xfId="0" applyNumberFormat="1" applyFont="1" applyFill="1" applyBorder="1" applyAlignment="1">
      <alignment horizontal="center" vertical="center" wrapText="1"/>
    </xf>
    <xf numFmtId="169" fontId="15" fillId="0" borderId="20" xfId="0" applyNumberFormat="1" applyFont="1" applyFill="1" applyBorder="1" applyAlignment="1">
      <alignment horizontal="center" vertical="center" wrapText="1"/>
    </xf>
    <xf numFmtId="169" fontId="15" fillId="0" borderId="18" xfId="0" applyNumberFormat="1" applyFont="1" applyFill="1" applyBorder="1" applyAlignment="1">
      <alignment horizontal="center" vertical="center" wrapText="1"/>
    </xf>
    <xf numFmtId="175" fontId="24" fillId="0" borderId="21" xfId="0" applyNumberFormat="1"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20" xfId="35" applyNumberFormat="1" applyFont="1" applyFill="1" applyBorder="1" applyAlignment="1">
      <alignment horizontal="center" vertical="center" wrapText="1"/>
    </xf>
    <xf numFmtId="169" fontId="24" fillId="0" borderId="23" xfId="0" applyNumberFormat="1" applyFont="1" applyBorder="1" applyAlignment="1">
      <alignment horizontal="center" vertical="center"/>
    </xf>
    <xf numFmtId="3" fontId="24" fillId="0" borderId="21" xfId="71" applyNumberFormat="1" applyFont="1" applyFill="1" applyBorder="1" applyAlignment="1">
      <alignment horizontal="center"/>
    </xf>
    <xf numFmtId="3" fontId="24" fillId="0" borderId="21" xfId="0" applyNumberFormat="1" applyFont="1" applyFill="1" applyBorder="1" applyAlignment="1">
      <alignment horizontal="center"/>
    </xf>
    <xf numFmtId="0" fontId="24" fillId="0" borderId="21" xfId="0" applyFont="1" applyFill="1" applyBorder="1" applyAlignment="1">
      <alignment vertical="top" wrapText="1"/>
    </xf>
    <xf numFmtId="185" fontId="24" fillId="0" borderId="24" xfId="41" applyNumberFormat="1" applyFont="1" applyFill="1" applyBorder="1" applyAlignment="1">
      <alignment horizontal="center" vertical="center" wrapText="1"/>
    </xf>
    <xf numFmtId="185" fontId="24" fillId="0" borderId="24" xfId="0" applyNumberFormat="1" applyFont="1" applyBorder="1" applyAlignment="1">
      <alignment horizontal="right" vertical="center" wrapText="1"/>
    </xf>
    <xf numFmtId="5" fontId="15" fillId="0" borderId="20" xfId="71" applyNumberFormat="1" applyFont="1" applyFill="1" applyBorder="1" applyAlignment="1">
      <alignment horizontal="center" vertical="center" wrapText="1"/>
    </xf>
    <xf numFmtId="169" fontId="24" fillId="0" borderId="21" xfId="41" applyNumberFormat="1" applyFont="1" applyFill="1" applyBorder="1" applyAlignment="1">
      <alignment horizontal="center" vertical="center" wrapText="1"/>
    </xf>
    <xf numFmtId="191" fontId="24" fillId="0" borderId="21" xfId="41" applyNumberFormat="1" applyFont="1" applyFill="1" applyBorder="1" applyAlignment="1">
      <alignment horizontal="center" vertical="center" wrapText="1"/>
    </xf>
    <xf numFmtId="164" fontId="24" fillId="0" borderId="21" xfId="0" applyNumberFormat="1" applyFont="1" applyFill="1" applyBorder="1" applyAlignment="1">
      <alignment horizontal="center" vertical="center" wrapText="1"/>
    </xf>
    <xf numFmtId="164" fontId="24" fillId="0" borderId="21" xfId="0" applyNumberFormat="1" applyFont="1" applyBorder="1" applyAlignment="1">
      <alignment horizontal="center" vertical="center" wrapText="1"/>
    </xf>
    <xf numFmtId="169" fontId="24" fillId="0" borderId="21" xfId="0" applyNumberFormat="1" applyFont="1" applyBorder="1" applyAlignment="1">
      <alignment horizontal="center" vertical="center"/>
    </xf>
    <xf numFmtId="169" fontId="24" fillId="0" borderId="21" xfId="0" applyNumberFormat="1" applyFont="1" applyFill="1" applyBorder="1" applyAlignment="1">
      <alignment horizontal="center" vertical="center" wrapText="1"/>
    </xf>
    <xf numFmtId="169" fontId="24" fillId="0" borderId="21" xfId="0" applyNumberFormat="1" applyFont="1" applyBorder="1" applyAlignment="1">
      <alignment horizontal="center"/>
    </xf>
    <xf numFmtId="185" fontId="24" fillId="0" borderId="21" xfId="0" applyNumberFormat="1" applyFont="1" applyFill="1" applyBorder="1" applyAlignment="1">
      <alignment horizontal="center" vertical="center" wrapText="1"/>
    </xf>
    <xf numFmtId="5" fontId="24" fillId="0" borderId="21" xfId="0" applyNumberFormat="1" applyFont="1" applyFill="1" applyBorder="1" applyAlignment="1">
      <alignment horizontal="center" vertical="center" wrapText="1"/>
    </xf>
    <xf numFmtId="185" fontId="24" fillId="0" borderId="24" xfId="0" applyNumberFormat="1" applyFont="1" applyBorder="1" applyAlignment="1">
      <alignment horizontal="center" vertical="center"/>
    </xf>
    <xf numFmtId="192" fontId="24" fillId="0" borderId="21" xfId="41" applyNumberFormat="1" applyFont="1" applyFill="1" applyBorder="1" applyAlignment="1">
      <alignment horizontal="right" vertical="center" wrapText="1"/>
    </xf>
    <xf numFmtId="185" fontId="24" fillId="0" borderId="21" xfId="41" applyNumberFormat="1" applyFont="1" applyFill="1" applyBorder="1" applyAlignment="1">
      <alignment horizontal="right" vertical="center" wrapText="1"/>
    </xf>
    <xf numFmtId="192" fontId="24" fillId="0" borderId="21" xfId="41" applyNumberFormat="1" applyFont="1" applyFill="1" applyBorder="1" applyAlignment="1">
      <alignment horizontal="center" vertical="center" wrapText="1"/>
    </xf>
    <xf numFmtId="7" fontId="24" fillId="0" borderId="21" xfId="0" applyNumberFormat="1" applyFont="1" applyFill="1" applyBorder="1" applyAlignment="1">
      <alignment horizontal="center" vertical="center" wrapText="1"/>
    </xf>
    <xf numFmtId="185" fontId="24" fillId="0" borderId="21" xfId="0" applyNumberFormat="1" applyFont="1" applyBorder="1" applyAlignment="1">
      <alignment horizontal="center" vertical="center"/>
    </xf>
    <xf numFmtId="185" fontId="24" fillId="0" borderId="21" xfId="0" applyNumberFormat="1" applyFont="1" applyFill="1" applyBorder="1" applyAlignment="1">
      <alignment horizontal="center"/>
    </xf>
    <xf numFmtId="169" fontId="24" fillId="0" borderId="21" xfId="0" applyNumberFormat="1" applyFont="1" applyFill="1" applyBorder="1" applyAlignment="1">
      <alignment horizontal="center"/>
    </xf>
    <xf numFmtId="0" fontId="73" fillId="0" borderId="0" xfId="0" applyFont="1" applyAlignment="1"/>
    <xf numFmtId="169" fontId="24" fillId="0" borderId="23" xfId="0" applyNumberFormat="1" applyFont="1" applyBorder="1" applyAlignment="1">
      <alignment horizontal="center" vertical="center"/>
    </xf>
    <xf numFmtId="0" fontId="62" fillId="32" borderId="12" xfId="0" applyFont="1" applyFill="1" applyBorder="1" applyAlignment="1">
      <alignment horizontal="center" wrapText="1"/>
    </xf>
    <xf numFmtId="173" fontId="3" fillId="0" borderId="0" xfId="0" applyNumberFormat="1" applyFont="1"/>
    <xf numFmtId="0" fontId="15" fillId="0" borderId="0" xfId="0" applyFont="1" applyAlignment="1">
      <alignment horizontal="center" wrapText="1"/>
    </xf>
    <xf numFmtId="169" fontId="15" fillId="0" borderId="0" xfId="0" applyNumberFormat="1" applyFont="1" applyAlignment="1" applyProtection="1">
      <alignment horizontal="right" wrapText="1"/>
      <protection hidden="1"/>
    </xf>
    <xf numFmtId="0" fontId="62" fillId="32" borderId="0" xfId="0" applyFont="1" applyFill="1" applyAlignment="1">
      <alignment horizontal="center" vertical="top" wrapText="1"/>
    </xf>
    <xf numFmtId="169" fontId="62" fillId="32" borderId="0" xfId="0" applyNumberFormat="1" applyFont="1" applyFill="1" applyAlignment="1">
      <alignment horizontal="center" vertical="center" wrapText="1"/>
    </xf>
    <xf numFmtId="0" fontId="22" fillId="0" borderId="0" xfId="0" applyFont="1" applyAlignment="1">
      <alignment horizontal="center" vertical="top" wrapText="1"/>
    </xf>
    <xf numFmtId="169" fontId="62" fillId="32" borderId="0" xfId="0" applyNumberFormat="1" applyFont="1" applyFill="1" applyAlignment="1">
      <alignment horizontal="center" vertical="top" wrapText="1"/>
    </xf>
    <xf numFmtId="169" fontId="15" fillId="0" borderId="0" xfId="0" applyNumberFormat="1" applyFont="1" applyAlignment="1">
      <alignment horizontal="center" vertical="top" wrapText="1"/>
    </xf>
    <xf numFmtId="169" fontId="10" fillId="0" borderId="0" xfId="0" applyNumberFormat="1" applyFont="1" applyAlignment="1">
      <alignment horizontal="center" vertical="top" wrapText="1"/>
    </xf>
    <xf numFmtId="185" fontId="24" fillId="0" borderId="21" xfId="41" applyNumberFormat="1" applyFont="1" applyFill="1" applyBorder="1" applyAlignment="1">
      <alignment horizontal="center" vertical="center" wrapText="1"/>
    </xf>
    <xf numFmtId="169" fontId="15" fillId="0" borderId="0" xfId="0" applyNumberFormat="1" applyFont="1" applyAlignment="1">
      <alignment horizontal="center" vertical="center" wrapText="1"/>
    </xf>
    <xf numFmtId="185" fontId="24" fillId="0" borderId="21" xfId="0" applyNumberFormat="1" applyFont="1" applyBorder="1" applyAlignment="1">
      <alignment horizontal="center" vertical="center" wrapText="1"/>
    </xf>
    <xf numFmtId="169" fontId="15" fillId="0" borderId="0" xfId="0" applyNumberFormat="1" applyFont="1" applyAlignment="1">
      <alignment horizontal="center"/>
    </xf>
    <xf numFmtId="3" fontId="24" fillId="0" borderId="21" xfId="0" applyNumberFormat="1" applyFont="1" applyBorder="1" applyAlignment="1">
      <alignment horizontal="center"/>
    </xf>
    <xf numFmtId="0" fontId="24" fillId="0" borderId="18" xfId="0" applyFont="1" applyBorder="1" applyAlignment="1">
      <alignment horizontal="center"/>
    </xf>
    <xf numFmtId="5" fontId="24" fillId="0" borderId="21" xfId="0" applyNumberFormat="1" applyFont="1" applyBorder="1" applyAlignment="1">
      <alignment horizontal="center" vertical="center" wrapText="1"/>
    </xf>
    <xf numFmtId="7" fontId="24" fillId="0" borderId="21" xfId="0" applyNumberFormat="1" applyFont="1" applyBorder="1" applyAlignment="1">
      <alignment horizontal="center" vertical="center" wrapText="1"/>
    </xf>
    <xf numFmtId="189" fontId="24" fillId="0" borderId="20" xfId="0" applyNumberFormat="1" applyFont="1" applyBorder="1" applyAlignment="1">
      <alignment horizontal="center" vertical="center"/>
    </xf>
    <xf numFmtId="174" fontId="24" fillId="0" borderId="17" xfId="0" applyNumberFormat="1" applyFont="1" applyBorder="1" applyAlignment="1">
      <alignment horizontal="center" vertical="center"/>
    </xf>
    <xf numFmtId="169" fontId="15" fillId="33" borderId="0" xfId="0" applyNumberFormat="1" applyFont="1" applyFill="1" applyAlignment="1">
      <alignment horizontal="center" vertical="center" wrapText="1"/>
    </xf>
    <xf numFmtId="169" fontId="22" fillId="0" borderId="0" xfId="0" applyNumberFormat="1" applyFont="1"/>
    <xf numFmtId="0" fontId="0" fillId="0" borderId="0" xfId="0" applyAlignment="1">
      <alignment wrapText="1"/>
    </xf>
    <xf numFmtId="0" fontId="0" fillId="0" borderId="0" xfId="0" applyAlignment="1">
      <alignment horizontal="center"/>
    </xf>
    <xf numFmtId="169" fontId="15" fillId="0" borderId="21" xfId="0" applyNumberFormat="1" applyFont="1" applyBorder="1" applyAlignment="1">
      <alignment horizontal="center" vertical="center" wrapText="1"/>
    </xf>
    <xf numFmtId="0" fontId="24" fillId="0" borderId="2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2" xfId="0" applyFont="1" applyBorder="1" applyAlignment="1">
      <alignment horizontal="center" vertical="center" wrapText="1"/>
    </xf>
    <xf numFmtId="169" fontId="15" fillId="0" borderId="20" xfId="0" applyNumberFormat="1" applyFont="1" applyBorder="1" applyAlignment="1">
      <alignment horizontal="center" vertical="center" wrapText="1"/>
    </xf>
    <xf numFmtId="169" fontId="15" fillId="0" borderId="18" xfId="0" applyNumberFormat="1" applyFont="1" applyBorder="1" applyAlignment="1">
      <alignment horizontal="center" vertical="center" wrapText="1"/>
    </xf>
    <xf numFmtId="0" fontId="24" fillId="0" borderId="20" xfId="35" applyNumberFormat="1" applyFont="1" applyFill="1" applyBorder="1" applyAlignment="1">
      <alignment horizontal="center" vertical="center" wrapText="1"/>
    </xf>
    <xf numFmtId="0" fontId="0" fillId="0" borderId="24" xfId="0" applyBorder="1" applyAlignment="1">
      <alignment horizontal="center" vertical="center" wrapText="1"/>
    </xf>
    <xf numFmtId="0" fontId="24" fillId="0" borderId="21" xfId="35" applyNumberFormat="1" applyFont="1" applyFill="1" applyBorder="1" applyAlignment="1">
      <alignment horizontal="center" vertical="center" wrapText="1"/>
    </xf>
    <xf numFmtId="49" fontId="62" fillId="32" borderId="20" xfId="0" applyNumberFormat="1" applyFont="1" applyFill="1" applyBorder="1" applyAlignment="1">
      <alignment horizontal="center" vertical="top" wrapText="1"/>
    </xf>
    <xf numFmtId="49" fontId="62" fillId="32" borderId="18" xfId="0" applyNumberFormat="1" applyFont="1" applyFill="1" applyBorder="1" applyAlignment="1">
      <alignment horizontal="center" vertical="top" wrapText="1"/>
    </xf>
    <xf numFmtId="0" fontId="69" fillId="0" borderId="0" xfId="0" applyFont="1" applyAlignment="1">
      <alignment horizontal="left"/>
    </xf>
    <xf numFmtId="0" fontId="3" fillId="0" borderId="0" xfId="0" applyFont="1" applyAlignment="1">
      <alignment horizontal="center"/>
    </xf>
    <xf numFmtId="0" fontId="15" fillId="0" borderId="0" xfId="0" applyFont="1" applyAlignment="1">
      <alignment horizontal="center" vertical="top" wrapText="1"/>
    </xf>
    <xf numFmtId="0" fontId="62" fillId="32" borderId="39" xfId="0" applyFont="1" applyFill="1" applyBorder="1" applyAlignment="1">
      <alignment horizontal="center" vertical="center" wrapText="1"/>
    </xf>
    <xf numFmtId="0" fontId="24" fillId="0" borderId="20" xfId="0" applyFont="1" applyBorder="1" applyAlignment="1">
      <alignment horizontal="center" vertical="top" wrapText="1"/>
    </xf>
    <xf numFmtId="185" fontId="24" fillId="0" borderId="23" xfId="0" applyNumberFormat="1" applyFont="1" applyBorder="1" applyAlignment="1">
      <alignment horizontal="center" vertical="center"/>
    </xf>
    <xf numFmtId="164" fontId="24" fillId="0" borderId="21" xfId="0" applyNumberFormat="1" applyFont="1" applyBorder="1" applyAlignment="1">
      <alignment horizontal="center" vertical="center" wrapText="1"/>
    </xf>
    <xf numFmtId="165" fontId="24" fillId="0" borderId="21" xfId="41" applyNumberFormat="1" applyFont="1" applyFill="1" applyBorder="1" applyAlignment="1">
      <alignment horizontal="center" vertical="center" wrapText="1"/>
    </xf>
    <xf numFmtId="0" fontId="24" fillId="0" borderId="21" xfId="0" applyFont="1" applyBorder="1" applyAlignment="1">
      <alignment horizontal="center" vertical="top" wrapText="1"/>
    </xf>
    <xf numFmtId="169" fontId="24" fillId="0" borderId="21" xfId="0" applyNumberFormat="1" applyFont="1" applyBorder="1" applyAlignment="1">
      <alignment horizontal="center" vertical="center"/>
    </xf>
    <xf numFmtId="0" fontId="24" fillId="0" borderId="0" xfId="0" applyFont="1" applyAlignment="1">
      <alignment horizontal="center" vertical="center" wrapText="1"/>
    </xf>
    <xf numFmtId="174" fontId="24" fillId="0" borderId="21" xfId="0" applyNumberFormat="1" applyFont="1" applyBorder="1" applyAlignment="1">
      <alignment horizontal="center" vertical="center"/>
    </xf>
    <xf numFmtId="175" fontId="24" fillId="0" borderId="21" xfId="0" applyNumberFormat="1" applyFont="1" applyBorder="1" applyAlignment="1">
      <alignment horizontal="center" vertical="center" wrapText="1"/>
    </xf>
    <xf numFmtId="169" fontId="15" fillId="0" borderId="21" xfId="0" applyNumberFormat="1" applyFont="1" applyBorder="1" applyAlignment="1">
      <alignment horizontal="center" vertical="center"/>
    </xf>
    <xf numFmtId="169" fontId="24" fillId="0" borderId="21" xfId="0" applyNumberFormat="1" applyFont="1" applyBorder="1" applyAlignment="1">
      <alignment horizontal="center" vertical="center" wrapText="1"/>
    </xf>
    <xf numFmtId="174" fontId="24" fillId="0" borderId="21" xfId="0" applyNumberFormat="1" applyFont="1" applyBorder="1" applyAlignment="1">
      <alignment horizontal="center" vertical="center" wrapText="1"/>
    </xf>
    <xf numFmtId="169" fontId="24" fillId="0" borderId="23" xfId="0" applyNumberFormat="1" applyFont="1" applyBorder="1" applyAlignment="1">
      <alignment horizontal="center" vertical="center"/>
    </xf>
    <xf numFmtId="0" fontId="24" fillId="0" borderId="0" xfId="0" applyFont="1" applyAlignment="1">
      <alignment horizontal="left" vertical="center" wrapText="1"/>
    </xf>
    <xf numFmtId="0" fontId="0" fillId="0" borderId="0" xfId="0"/>
    <xf numFmtId="169" fontId="24" fillId="0" borderId="23" xfId="0" applyNumberFormat="1" applyFont="1" applyBorder="1" applyAlignment="1">
      <alignment horizontal="center" vertical="center"/>
    </xf>
    <xf numFmtId="164" fontId="15" fillId="0" borderId="21" xfId="35" applyNumberFormat="1" applyFont="1" applyFill="1" applyBorder="1" applyAlignment="1"/>
    <xf numFmtId="0" fontId="24" fillId="0" borderId="21" xfId="0" applyFont="1" applyBorder="1" applyAlignment="1">
      <alignment horizontal="left" wrapText="1"/>
    </xf>
    <xf numFmtId="0" fontId="62" fillId="32" borderId="12" xfId="0" applyFont="1" applyFill="1" applyBorder="1" applyAlignment="1">
      <alignment horizontal="center" wrapText="1"/>
    </xf>
    <xf numFmtId="0" fontId="0" fillId="0" borderId="0" xfId="0" applyAlignment="1">
      <alignment wrapText="1"/>
    </xf>
    <xf numFmtId="0" fontId="62" fillId="32" borderId="14" xfId="0" applyFont="1" applyFill="1" applyBorder="1" applyAlignment="1">
      <alignment horizontal="center"/>
    </xf>
    <xf numFmtId="0" fontId="0" fillId="0" borderId="0" xfId="0"/>
    <xf numFmtId="0" fontId="24" fillId="0" borderId="21" xfId="0" applyFont="1" applyBorder="1"/>
    <xf numFmtId="0" fontId="0" fillId="0" borderId="0" xfId="0" applyAlignment="1"/>
    <xf numFmtId="0" fontId="76" fillId="0" borderId="0" xfId="0" applyFont="1" applyAlignment="1">
      <alignment horizontal="center"/>
    </xf>
    <xf numFmtId="0" fontId="73" fillId="0" borderId="0" xfId="0" applyFont="1" applyAlignment="1"/>
    <xf numFmtId="9" fontId="6" fillId="0" borderId="0" xfId="0" applyNumberFormat="1" applyFont="1" applyAlignment="1">
      <alignment horizontal="center"/>
    </xf>
    <xf numFmtId="0" fontId="6" fillId="0" borderId="0" xfId="0" applyFont="1" applyAlignment="1">
      <alignment horizontal="center"/>
    </xf>
    <xf numFmtId="0" fontId="0" fillId="0" borderId="0" xfId="0"/>
    <xf numFmtId="0" fontId="0" fillId="0" borderId="0" xfId="0" applyAlignment="1"/>
    <xf numFmtId="0" fontId="73" fillId="0" borderId="0" xfId="0" applyFont="1" applyAlignment="1"/>
    <xf numFmtId="9" fontId="6" fillId="0" borderId="0" xfId="0" applyNumberFormat="1" applyFont="1" applyAlignment="1">
      <alignment horizontal="center"/>
    </xf>
    <xf numFmtId="0" fontId="6" fillId="0" borderId="0" xfId="0" applyFont="1" applyAlignment="1">
      <alignment horizontal="center"/>
    </xf>
    <xf numFmtId="0" fontId="0" fillId="0" borderId="0" xfId="0"/>
    <xf numFmtId="0" fontId="76" fillId="0" borderId="0" xfId="0" applyFont="1" applyBorder="1" applyAlignment="1">
      <alignment horizontal="center"/>
    </xf>
    <xf numFmtId="165" fontId="24" fillId="0" borderId="0" xfId="0" applyNumberFormat="1" applyFont="1" applyFill="1" applyBorder="1"/>
    <xf numFmtId="42" fontId="24" fillId="0" borderId="0" xfId="0" applyNumberFormat="1" applyFont="1" applyFill="1" applyBorder="1"/>
    <xf numFmtId="42" fontId="15" fillId="33" borderId="0" xfId="41" applyNumberFormat="1" applyFont="1" applyFill="1" applyBorder="1" applyAlignment="1">
      <alignment horizontal="left"/>
    </xf>
    <xf numFmtId="165" fontId="15" fillId="33" borderId="0" xfId="41" applyNumberFormat="1" applyFont="1" applyFill="1" applyBorder="1" applyAlignment="1">
      <alignment horizontal="left"/>
    </xf>
    <xf numFmtId="165" fontId="24" fillId="0" borderId="0" xfId="57" applyNumberFormat="1" applyFont="1" applyBorder="1"/>
    <xf numFmtId="0" fontId="24" fillId="33" borderId="0" xfId="0" applyFont="1" applyFill="1" applyBorder="1"/>
    <xf numFmtId="42" fontId="65" fillId="33" borderId="0" xfId="41" applyNumberFormat="1" applyFont="1" applyFill="1" applyBorder="1" applyAlignment="1">
      <alignment horizontal="left"/>
    </xf>
    <xf numFmtId="42" fontId="64" fillId="33" borderId="0" xfId="41" applyNumberFormat="1" applyFont="1" applyFill="1" applyBorder="1" applyAlignment="1">
      <alignment horizontal="left"/>
    </xf>
    <xf numFmtId="43" fontId="3" fillId="0" borderId="0" xfId="35" applyFont="1" applyFill="1"/>
    <xf numFmtId="0" fontId="83" fillId="32" borderId="0" xfId="0" applyFont="1" applyFill="1" applyBorder="1" applyAlignment="1">
      <alignment horizontal="center"/>
    </xf>
    <xf numFmtId="172" fontId="83" fillId="32" borderId="0" xfId="0" applyNumberFormat="1" applyFont="1" applyFill="1" applyBorder="1" applyAlignment="1">
      <alignment horizontal="center"/>
    </xf>
    <xf numFmtId="165" fontId="84" fillId="0" borderId="0" xfId="0" applyNumberFormat="1" applyFont="1" applyFill="1" applyBorder="1"/>
    <xf numFmtId="42" fontId="84" fillId="0" borderId="0" xfId="0" applyNumberFormat="1" applyFont="1" applyFill="1" applyBorder="1"/>
    <xf numFmtId="10" fontId="3" fillId="0" borderId="0" xfId="0" applyNumberFormat="1" applyFont="1"/>
    <xf numFmtId="42" fontId="85" fillId="0" borderId="0" xfId="0" applyNumberFormat="1" applyFont="1" applyFill="1" applyBorder="1"/>
    <xf numFmtId="42" fontId="86" fillId="0" borderId="0" xfId="0" applyNumberFormat="1" applyFont="1" applyFill="1" applyBorder="1"/>
    <xf numFmtId="0" fontId="62" fillId="32" borderId="12" xfId="0" applyFont="1" applyFill="1" applyBorder="1" applyAlignment="1">
      <alignment horizontal="center" wrapText="1"/>
    </xf>
    <xf numFmtId="0" fontId="0" fillId="0" borderId="0" xfId="0" applyAlignment="1"/>
    <xf numFmtId="0" fontId="24" fillId="0" borderId="0" xfId="0" applyFont="1" applyAlignment="1">
      <alignment horizontal="center" vertical="center" wrapText="1"/>
    </xf>
    <xf numFmtId="43" fontId="6" fillId="0" borderId="0" xfId="35" applyFont="1" applyFill="1" applyProtection="1">
      <protection hidden="1"/>
    </xf>
    <xf numFmtId="10" fontId="24" fillId="0" borderId="0" xfId="0" applyNumberFormat="1" applyFont="1" applyAlignment="1">
      <alignment horizontal="center" vertical="center" wrapText="1"/>
    </xf>
    <xf numFmtId="0" fontId="3" fillId="0" borderId="0" xfId="60"/>
    <xf numFmtId="3" fontId="62" fillId="32" borderId="44" xfId="60" applyNumberFormat="1" applyFont="1" applyFill="1" applyBorder="1" applyAlignment="1">
      <alignment horizontal="center" vertical="center" wrapText="1"/>
    </xf>
    <xf numFmtId="3" fontId="62" fillId="32" borderId="45" xfId="60" applyNumberFormat="1" applyFont="1" applyFill="1" applyBorder="1" applyAlignment="1">
      <alignment horizontal="center" vertical="center" wrapText="1"/>
    </xf>
    <xf numFmtId="3" fontId="62" fillId="32" borderId="46" xfId="60" applyNumberFormat="1" applyFont="1" applyFill="1" applyBorder="1" applyAlignment="1">
      <alignment horizontal="center" vertical="center" wrapText="1"/>
    </xf>
    <xf numFmtId="3" fontId="3" fillId="0" borderId="0" xfId="60" applyNumberFormat="1" applyAlignment="1">
      <alignment horizontal="left" vertical="top"/>
    </xf>
    <xf numFmtId="3" fontId="3" fillId="0" borderId="0" xfId="60" applyNumberFormat="1" applyAlignment="1">
      <alignment horizontal="center" vertical="center" wrapText="1"/>
    </xf>
    <xf numFmtId="3" fontId="24" fillId="0" borderId="41" xfId="60" applyNumberFormat="1" applyFont="1" applyBorder="1"/>
    <xf numFmtId="3" fontId="24" fillId="0" borderId="42" xfId="60" applyNumberFormat="1" applyFont="1" applyBorder="1"/>
    <xf numFmtId="169" fontId="24" fillId="0" borderId="43" xfId="60" applyNumberFormat="1" applyFont="1" applyBorder="1" applyAlignment="1">
      <alignment horizontal="right"/>
    </xf>
    <xf numFmtId="9" fontId="24" fillId="0" borderId="41" xfId="60" applyNumberFormat="1" applyFont="1" applyBorder="1" applyAlignment="1">
      <alignment horizontal="center"/>
    </xf>
    <xf numFmtId="173" fontId="3" fillId="0" borderId="0" xfId="60" applyNumberFormat="1"/>
    <xf numFmtId="169" fontId="3" fillId="0" borderId="0" xfId="60" applyNumberFormat="1"/>
    <xf numFmtId="3" fontId="15" fillId="33" borderId="41" xfId="60" applyNumberFormat="1" applyFont="1" applyFill="1" applyBorder="1" applyAlignment="1">
      <alignment horizontal="right"/>
    </xf>
    <xf numFmtId="3" fontId="15" fillId="33" borderId="42" xfId="60" applyNumberFormat="1" applyFont="1" applyFill="1" applyBorder="1" applyAlignment="1">
      <alignment horizontal="right"/>
    </xf>
    <xf numFmtId="169" fontId="15" fillId="33" borderId="43" xfId="60" applyNumberFormat="1" applyFont="1" applyFill="1" applyBorder="1" applyAlignment="1">
      <alignment horizontal="right"/>
    </xf>
    <xf numFmtId="9" fontId="15" fillId="33" borderId="41" xfId="60" applyNumberFormat="1" applyFont="1" applyFill="1" applyBorder="1" applyAlignment="1">
      <alignment horizontal="center"/>
    </xf>
    <xf numFmtId="10" fontId="3" fillId="0" borderId="0" xfId="60" applyNumberFormat="1"/>
    <xf numFmtId="9" fontId="24" fillId="0" borderId="41" xfId="60" applyNumberFormat="1" applyFont="1" applyBorder="1"/>
    <xf numFmtId="9" fontId="24" fillId="0" borderId="41" xfId="60" applyNumberFormat="1" applyFont="1" applyBorder="1" applyAlignment="1">
      <alignment horizontal="right"/>
    </xf>
    <xf numFmtId="0" fontId="15" fillId="33" borderId="41" xfId="60" applyFont="1" applyFill="1" applyBorder="1" applyAlignment="1">
      <alignment horizontal="right"/>
    </xf>
    <xf numFmtId="0" fontId="15" fillId="33" borderId="42" xfId="60" applyFont="1" applyFill="1" applyBorder="1" applyAlignment="1">
      <alignment horizontal="right"/>
    </xf>
    <xf numFmtId="9" fontId="15" fillId="33" borderId="41" xfId="60" applyNumberFormat="1" applyFont="1" applyFill="1" applyBorder="1" applyAlignment="1">
      <alignment horizontal="right"/>
    </xf>
    <xf numFmtId="169" fontId="15" fillId="33" borderId="43" xfId="42" applyNumberFormat="1" applyFont="1" applyFill="1" applyBorder="1" applyAlignment="1">
      <alignment horizontal="right"/>
    </xf>
    <xf numFmtId="9" fontId="15" fillId="33" borderId="41" xfId="60" applyNumberFormat="1" applyFont="1" applyFill="1" applyBorder="1"/>
    <xf numFmtId="42" fontId="3" fillId="0" borderId="0" xfId="42" applyNumberFormat="1" applyFont="1" applyBorder="1"/>
    <xf numFmtId="0" fontId="15" fillId="33" borderId="42" xfId="60" applyFont="1" applyFill="1" applyBorder="1" applyAlignment="1">
      <alignment horizontal="left"/>
    </xf>
    <xf numFmtId="169" fontId="15" fillId="33" borderId="43" xfId="42" applyNumberFormat="1" applyFont="1" applyFill="1" applyBorder="1"/>
    <xf numFmtId="0" fontId="24" fillId="0" borderId="0" xfId="60" applyFont="1"/>
    <xf numFmtId="0" fontId="73" fillId="0" borderId="0" xfId="60" applyFont="1"/>
    <xf numFmtId="0" fontId="74" fillId="0" borderId="0" xfId="60" applyFont="1" applyAlignment="1">
      <alignment horizontal="left"/>
    </xf>
    <xf numFmtId="169" fontId="73" fillId="0" borderId="0" xfId="42" applyNumberFormat="1" applyFont="1" applyBorder="1"/>
    <xf numFmtId="166" fontId="3" fillId="0" borderId="0" xfId="72" applyNumberFormat="1" applyFont="1" applyBorder="1"/>
    <xf numFmtId="166" fontId="3" fillId="0" borderId="0" xfId="60" applyNumberFormat="1" applyAlignment="1">
      <alignment horizontal="right"/>
    </xf>
    <xf numFmtId="166" fontId="3" fillId="0" borderId="0" xfId="60" applyNumberFormat="1"/>
    <xf numFmtId="0" fontId="73" fillId="0" borderId="0" xfId="60" applyFont="1" applyAlignment="1">
      <alignment horizontal="left"/>
    </xf>
    <xf numFmtId="0" fontId="2" fillId="0" borderId="0" xfId="60" applyFont="1" applyAlignment="1">
      <alignment horizontal="left"/>
    </xf>
    <xf numFmtId="169" fontId="3" fillId="0" borderId="0" xfId="42" applyNumberFormat="1" applyFont="1" applyBorder="1"/>
    <xf numFmtId="0" fontId="26" fillId="0" borderId="0" xfId="60" applyFont="1" applyAlignment="1">
      <alignment horizontal="left"/>
    </xf>
    <xf numFmtId="169" fontId="27" fillId="0" borderId="0" xfId="42" applyNumberFormat="1" applyFont="1" applyBorder="1"/>
    <xf numFmtId="0" fontId="7" fillId="0" borderId="0" xfId="60" applyFont="1"/>
    <xf numFmtId="3" fontId="72" fillId="32" borderId="44" xfId="60" applyNumberFormat="1" applyFont="1" applyFill="1" applyBorder="1" applyAlignment="1">
      <alignment horizontal="center" vertical="center" wrapText="1"/>
    </xf>
    <xf numFmtId="3" fontId="72" fillId="32" borderId="45" xfId="60" applyNumberFormat="1" applyFont="1" applyFill="1" applyBorder="1" applyAlignment="1">
      <alignment horizontal="center" vertical="center" wrapText="1"/>
    </xf>
    <xf numFmtId="3" fontId="72" fillId="32" borderId="46" xfId="60" applyNumberFormat="1" applyFont="1" applyFill="1" applyBorder="1" applyAlignment="1">
      <alignment horizontal="center" vertical="center" wrapText="1"/>
    </xf>
    <xf numFmtId="3" fontId="73" fillId="0" borderId="41" xfId="60" applyNumberFormat="1" applyFont="1" applyBorder="1"/>
    <xf numFmtId="3" fontId="73" fillId="0" borderId="42" xfId="60" applyNumberFormat="1" applyFont="1" applyBorder="1"/>
    <xf numFmtId="169" fontId="73" fillId="0" borderId="43" xfId="60" applyNumberFormat="1" applyFont="1" applyBorder="1" applyAlignment="1">
      <alignment horizontal="right"/>
    </xf>
    <xf numFmtId="9" fontId="73" fillId="0" borderId="41" xfId="60" applyNumberFormat="1" applyFont="1" applyBorder="1" applyAlignment="1">
      <alignment horizontal="center"/>
    </xf>
    <xf numFmtId="3" fontId="74" fillId="33" borderId="41" xfId="60" applyNumberFormat="1" applyFont="1" applyFill="1" applyBorder="1" applyAlignment="1">
      <alignment horizontal="right"/>
    </xf>
    <xf numFmtId="3" fontId="74" fillId="33" borderId="42" xfId="60" applyNumberFormat="1" applyFont="1" applyFill="1" applyBorder="1" applyAlignment="1">
      <alignment horizontal="right"/>
    </xf>
    <xf numFmtId="169" fontId="74" fillId="33" borderId="43" xfId="60" applyNumberFormat="1" applyFont="1" applyFill="1" applyBorder="1" applyAlignment="1">
      <alignment horizontal="right"/>
    </xf>
    <xf numFmtId="9" fontId="74" fillId="33" borderId="41" xfId="60" applyNumberFormat="1" applyFont="1" applyFill="1" applyBorder="1" applyAlignment="1">
      <alignment horizontal="center"/>
    </xf>
    <xf numFmtId="9" fontId="73" fillId="0" borderId="41" xfId="60" applyNumberFormat="1" applyFont="1" applyBorder="1"/>
    <xf numFmtId="9" fontId="73" fillId="0" borderId="41" xfId="60" applyNumberFormat="1" applyFont="1" applyBorder="1" applyAlignment="1">
      <alignment horizontal="right"/>
    </xf>
    <xf numFmtId="0" fontId="74" fillId="33" borderId="41" xfId="60" applyFont="1" applyFill="1" applyBorder="1" applyAlignment="1">
      <alignment horizontal="right"/>
    </xf>
    <xf numFmtId="0" fontId="74" fillId="33" borderId="42" xfId="60" applyFont="1" applyFill="1" applyBorder="1" applyAlignment="1">
      <alignment horizontal="right"/>
    </xf>
    <xf numFmtId="9" fontId="74" fillId="33" borderId="41" xfId="60" applyNumberFormat="1" applyFont="1" applyFill="1" applyBorder="1" applyAlignment="1">
      <alignment horizontal="right"/>
    </xf>
    <xf numFmtId="169" fontId="74" fillId="33" borderId="43" xfId="42" applyNumberFormat="1" applyFont="1" applyFill="1" applyBorder="1" applyAlignment="1">
      <alignment horizontal="right"/>
    </xf>
    <xf numFmtId="9" fontId="74" fillId="33" borderId="41" xfId="60" applyNumberFormat="1" applyFont="1" applyFill="1" applyBorder="1"/>
    <xf numFmtId="0" fontId="74" fillId="33" borderId="42" xfId="60" applyFont="1" applyFill="1" applyBorder="1" applyAlignment="1">
      <alignment horizontal="left"/>
    </xf>
    <xf numFmtId="169" fontId="74" fillId="33" borderId="43" xfId="42" applyNumberFormat="1" applyFont="1" applyFill="1" applyBorder="1"/>
    <xf numFmtId="191" fontId="24" fillId="0" borderId="21" xfId="41" applyNumberFormat="1" applyFont="1" applyFill="1" applyBorder="1" applyAlignment="1">
      <alignment horizontal="right" vertical="center" wrapText="1"/>
    </xf>
    <xf numFmtId="0" fontId="62" fillId="32" borderId="20" xfId="0" applyFont="1" applyFill="1" applyBorder="1" applyAlignment="1">
      <alignment horizontal="center" wrapText="1"/>
    </xf>
    <xf numFmtId="0" fontId="62" fillId="32" borderId="12" xfId="0" applyFont="1" applyFill="1" applyBorder="1" applyAlignment="1">
      <alignment horizontal="center" wrapText="1"/>
    </xf>
    <xf numFmtId="0" fontId="15" fillId="0" borderId="16" xfId="0" applyFont="1" applyFill="1" applyBorder="1" applyAlignment="1">
      <alignment horizontal="center"/>
    </xf>
    <xf numFmtId="168" fontId="15" fillId="0" borderId="16" xfId="41" applyNumberFormat="1" applyFont="1" applyFill="1" applyBorder="1" applyAlignment="1">
      <alignment horizontal="center"/>
    </xf>
    <xf numFmtId="165" fontId="15" fillId="0" borderId="22" xfId="41" applyNumberFormat="1" applyFont="1" applyFill="1" applyBorder="1" applyAlignment="1">
      <alignment horizontal="center"/>
    </xf>
    <xf numFmtId="0" fontId="75" fillId="0" borderId="42" xfId="0" applyFont="1" applyBorder="1" applyAlignment="1">
      <alignment horizontal="left"/>
    </xf>
    <xf numFmtId="0" fontId="75" fillId="0" borderId="36" xfId="0" applyFont="1" applyBorder="1" applyAlignment="1">
      <alignment horizontal="left"/>
    </xf>
    <xf numFmtId="0" fontId="75" fillId="0" borderId="43" xfId="0" applyFont="1" applyBorder="1" applyAlignment="1">
      <alignment horizontal="left"/>
    </xf>
    <xf numFmtId="0" fontId="74" fillId="0" borderId="42" xfId="0" applyFont="1" applyBorder="1" applyAlignment="1">
      <alignment horizontal="center"/>
    </xf>
    <xf numFmtId="0" fontId="74" fillId="0" borderId="36" xfId="0" applyFont="1" applyBorder="1" applyAlignment="1">
      <alignment horizontal="center"/>
    </xf>
    <xf numFmtId="0" fontId="74" fillId="0" borderId="43" xfId="0" applyFont="1" applyBorder="1" applyAlignment="1">
      <alignment horizontal="center"/>
    </xf>
    <xf numFmtId="0" fontId="73" fillId="0" borderId="42" xfId="0" applyFont="1" applyBorder="1" applyAlignment="1">
      <alignment horizontal="center"/>
    </xf>
    <xf numFmtId="0" fontId="73" fillId="0" borderId="36" xfId="0" applyFont="1" applyBorder="1" applyAlignment="1">
      <alignment horizontal="center"/>
    </xf>
    <xf numFmtId="0" fontId="73" fillId="0" borderId="43" xfId="0" applyFont="1" applyBorder="1" applyAlignment="1">
      <alignment horizontal="center"/>
    </xf>
    <xf numFmtId="0" fontId="69" fillId="0" borderId="0" xfId="0" applyFont="1" applyAlignment="1">
      <alignment horizontal="center" wrapText="1"/>
    </xf>
    <xf numFmtId="0" fontId="69" fillId="0" borderId="0" xfId="0" applyFont="1" applyAlignment="1">
      <alignment horizontal="center"/>
    </xf>
    <xf numFmtId="3" fontId="72" fillId="32" borderId="47" xfId="0" applyNumberFormat="1" applyFont="1" applyFill="1" applyBorder="1" applyAlignment="1">
      <alignment horizontal="center" vertical="center" wrapText="1"/>
    </xf>
    <xf numFmtId="3" fontId="72" fillId="32" borderId="48" xfId="0" applyNumberFormat="1" applyFont="1" applyFill="1" applyBorder="1" applyAlignment="1">
      <alignment horizontal="center" vertical="center" wrapText="1"/>
    </xf>
    <xf numFmtId="3" fontId="73" fillId="0" borderId="42" xfId="0" applyNumberFormat="1" applyFont="1" applyBorder="1" applyAlignment="1">
      <alignment horizontal="center"/>
    </xf>
    <xf numFmtId="3" fontId="73" fillId="0" borderId="36" xfId="0" applyNumberFormat="1" applyFont="1" applyBorder="1" applyAlignment="1">
      <alignment horizontal="center"/>
    </xf>
    <xf numFmtId="3" fontId="73" fillId="0" borderId="43" xfId="0" applyNumberFormat="1" applyFont="1" applyBorder="1" applyAlignment="1">
      <alignment horizontal="center"/>
    </xf>
    <xf numFmtId="0" fontId="15" fillId="0" borderId="0" xfId="0" applyFont="1" applyFill="1" applyAlignment="1">
      <alignment horizontal="left" vertical="top" wrapText="1"/>
    </xf>
    <xf numFmtId="0" fontId="0" fillId="0" borderId="0" xfId="0" applyAlignment="1">
      <alignment wrapText="1"/>
    </xf>
    <xf numFmtId="3" fontId="24" fillId="0" borderId="42" xfId="60" applyNumberFormat="1" applyFont="1" applyBorder="1" applyAlignment="1">
      <alignment horizontal="center"/>
    </xf>
    <xf numFmtId="3" fontId="24" fillId="0" borderId="36" xfId="60" applyNumberFormat="1" applyFont="1" applyBorder="1" applyAlignment="1">
      <alignment horizontal="center"/>
    </xf>
    <xf numFmtId="3" fontId="24" fillId="0" borderId="43" xfId="60" applyNumberFormat="1" applyFont="1" applyBorder="1" applyAlignment="1">
      <alignment horizontal="center"/>
    </xf>
    <xf numFmtId="0" fontId="87" fillId="0" borderId="42" xfId="60" applyFont="1" applyBorder="1" applyAlignment="1">
      <alignment horizontal="left"/>
    </xf>
    <xf numFmtId="0" fontId="87" fillId="0" borderId="36" xfId="60" applyFont="1" applyBorder="1" applyAlignment="1">
      <alignment horizontal="left"/>
    </xf>
    <xf numFmtId="0" fontId="87" fillId="0" borderId="43" xfId="60" applyFont="1" applyBorder="1" applyAlignment="1">
      <alignment horizontal="left"/>
    </xf>
    <xf numFmtId="0" fontId="15" fillId="0" borderId="42" xfId="60" applyFont="1" applyBorder="1" applyAlignment="1">
      <alignment horizontal="center"/>
    </xf>
    <xf numFmtId="0" fontId="15" fillId="0" borderId="36" xfId="60" applyFont="1" applyBorder="1" applyAlignment="1">
      <alignment horizontal="center"/>
    </xf>
    <xf numFmtId="0" fontId="15" fillId="0" borderId="43" xfId="60" applyFont="1" applyBorder="1" applyAlignment="1">
      <alignment horizontal="center"/>
    </xf>
    <xf numFmtId="0" fontId="69" fillId="0" borderId="0" xfId="60" applyFont="1" applyAlignment="1">
      <alignment horizontal="center" wrapText="1"/>
    </xf>
    <xf numFmtId="0" fontId="69" fillId="0" borderId="0" xfId="60" applyFont="1" applyAlignment="1">
      <alignment horizontal="center"/>
    </xf>
    <xf numFmtId="0" fontId="15" fillId="0" borderId="0" xfId="60" applyFont="1" applyAlignment="1">
      <alignment horizontal="left" vertical="top" wrapText="1"/>
    </xf>
    <xf numFmtId="0" fontId="3" fillId="0" borderId="0" xfId="60" applyAlignment="1">
      <alignment wrapText="1"/>
    </xf>
    <xf numFmtId="3" fontId="62" fillId="32" borderId="47" xfId="60" applyNumberFormat="1" applyFont="1" applyFill="1" applyBorder="1" applyAlignment="1">
      <alignment horizontal="center" vertical="center" wrapText="1"/>
    </xf>
    <xf numFmtId="3" fontId="62" fillId="32" borderId="48" xfId="60" applyNumberFormat="1" applyFont="1" applyFill="1" applyBorder="1" applyAlignment="1">
      <alignment horizontal="center" vertical="center" wrapText="1"/>
    </xf>
    <xf numFmtId="0" fontId="24" fillId="0" borderId="42" xfId="60" applyFont="1" applyBorder="1" applyAlignment="1">
      <alignment horizontal="center"/>
    </xf>
    <xf numFmtId="0" fontId="24" fillId="0" borderId="36" xfId="60" applyFont="1" applyBorder="1" applyAlignment="1">
      <alignment horizontal="center"/>
    </xf>
    <xf numFmtId="0" fontId="24" fillId="0" borderId="43" xfId="60" applyFont="1" applyBorder="1" applyAlignment="1">
      <alignment horizontal="center"/>
    </xf>
    <xf numFmtId="3" fontId="73" fillId="0" borderId="42" xfId="60" applyNumberFormat="1" applyFont="1" applyBorder="1" applyAlignment="1">
      <alignment horizontal="center"/>
    </xf>
    <xf numFmtId="3" fontId="73" fillId="0" borderId="36" xfId="60" applyNumberFormat="1" applyFont="1" applyBorder="1" applyAlignment="1">
      <alignment horizontal="center"/>
    </xf>
    <xf numFmtId="3" fontId="73" fillId="0" borderId="43" xfId="60" applyNumberFormat="1" applyFont="1" applyBorder="1" applyAlignment="1">
      <alignment horizontal="center"/>
    </xf>
    <xf numFmtId="0" fontId="75" fillId="0" borderId="42" xfId="60" applyFont="1" applyBorder="1" applyAlignment="1">
      <alignment horizontal="left"/>
    </xf>
    <xf numFmtId="0" fontId="75" fillId="0" borderId="36" xfId="60" applyFont="1" applyBorder="1" applyAlignment="1">
      <alignment horizontal="left"/>
    </xf>
    <xf numFmtId="0" fontId="75" fillId="0" borderId="43" xfId="60" applyFont="1" applyBorder="1" applyAlignment="1">
      <alignment horizontal="left"/>
    </xf>
    <xf numFmtId="0" fontId="74" fillId="0" borderId="42" xfId="60" applyFont="1" applyBorder="1" applyAlignment="1">
      <alignment horizontal="center"/>
    </xf>
    <xf numFmtId="0" fontId="74" fillId="0" borderId="36" xfId="60" applyFont="1" applyBorder="1" applyAlignment="1">
      <alignment horizontal="center"/>
    </xf>
    <xf numFmtId="0" fontId="74" fillId="0" borderId="43" xfId="60" applyFont="1" applyBorder="1" applyAlignment="1">
      <alignment horizontal="center"/>
    </xf>
    <xf numFmtId="3" fontId="72" fillId="32" borderId="47" xfId="60" applyNumberFormat="1" applyFont="1" applyFill="1" applyBorder="1" applyAlignment="1">
      <alignment horizontal="center" vertical="center" wrapText="1"/>
    </xf>
    <xf numFmtId="3" fontId="72" fillId="32" borderId="48" xfId="60" applyNumberFormat="1" applyFont="1" applyFill="1" applyBorder="1" applyAlignment="1">
      <alignment horizontal="center" vertical="center" wrapText="1"/>
    </xf>
    <xf numFmtId="0" fontId="73" fillId="0" borderId="42" xfId="60" applyFont="1" applyBorder="1" applyAlignment="1">
      <alignment horizontal="center"/>
    </xf>
    <xf numFmtId="0" fontId="73" fillId="0" borderId="36" xfId="60" applyFont="1" applyBorder="1" applyAlignment="1">
      <alignment horizontal="center"/>
    </xf>
    <xf numFmtId="0" fontId="73" fillId="0" borderId="43" xfId="60" applyFont="1" applyBorder="1" applyAlignment="1">
      <alignment horizontal="center"/>
    </xf>
    <xf numFmtId="0" fontId="66" fillId="0" borderId="0" xfId="121" applyFont="1" applyAlignment="1">
      <alignment horizontal="left" vertical="top" wrapText="1" readingOrder="1"/>
    </xf>
    <xf numFmtId="0" fontId="24" fillId="0" borderId="0" xfId="121" quotePrefix="1" applyFont="1" applyFill="1" applyAlignment="1">
      <alignment horizontal="left" wrapText="1"/>
    </xf>
    <xf numFmtId="0" fontId="10" fillId="0" borderId="0" xfId="0" quotePrefix="1" applyFont="1" applyFill="1" applyAlignment="1">
      <alignment horizontal="left" wrapText="1"/>
    </xf>
    <xf numFmtId="0" fontId="69" fillId="0" borderId="0" xfId="0" quotePrefix="1" applyFont="1" applyBorder="1" applyAlignment="1">
      <alignment horizontal="center"/>
    </xf>
    <xf numFmtId="0" fontId="69" fillId="0" borderId="0" xfId="0" applyFont="1" applyBorder="1" applyAlignment="1">
      <alignment horizontal="center"/>
    </xf>
    <xf numFmtId="0" fontId="17" fillId="0" borderId="11" xfId="0" applyFont="1" applyBorder="1" applyAlignment="1">
      <alignment horizontal="center"/>
    </xf>
    <xf numFmtId="168" fontId="17" fillId="0" borderId="16" xfId="41" applyNumberFormat="1" applyFont="1" applyFill="1" applyBorder="1" applyAlignment="1">
      <alignment horizontal="center"/>
    </xf>
    <xf numFmtId="0" fontId="24" fillId="0" borderId="0" xfId="121" quotePrefix="1" applyFont="1" applyAlignment="1">
      <alignment horizontal="left" wrapText="1"/>
    </xf>
    <xf numFmtId="0" fontId="62" fillId="32" borderId="14" xfId="0" applyFont="1" applyFill="1" applyBorder="1" applyAlignment="1">
      <alignment horizontal="center"/>
    </xf>
    <xf numFmtId="0" fontId="0" fillId="0" borderId="0" xfId="0" applyAlignment="1"/>
    <xf numFmtId="0" fontId="76" fillId="0" borderId="0" xfId="0" applyFont="1" applyAlignment="1">
      <alignment horizontal="center"/>
    </xf>
    <xf numFmtId="0" fontId="69" fillId="0" borderId="11" xfId="0" applyFont="1" applyFill="1" applyBorder="1" applyAlignment="1">
      <alignment horizontal="center" wrapText="1"/>
    </xf>
    <xf numFmtId="0" fontId="76" fillId="0" borderId="11" xfId="0" applyFont="1" applyBorder="1" applyAlignment="1">
      <alignment horizontal="center"/>
    </xf>
    <xf numFmtId="0" fontId="72" fillId="32" borderId="0" xfId="57" applyFont="1" applyFill="1" applyAlignment="1">
      <alignment horizontal="center"/>
    </xf>
    <xf numFmtId="0" fontId="10" fillId="0" borderId="0" xfId="57" applyFont="1" applyFill="1" applyBorder="1" applyAlignment="1">
      <alignment horizontal="left" wrapText="1"/>
    </xf>
    <xf numFmtId="0" fontId="15" fillId="0" borderId="0" xfId="0" applyFont="1" applyAlignment="1">
      <alignment horizontal="center"/>
    </xf>
    <xf numFmtId="0" fontId="74" fillId="0" borderId="16" xfId="57" applyFont="1" applyFill="1" applyBorder="1" applyAlignment="1">
      <alignment horizontal="center"/>
    </xf>
    <xf numFmtId="0" fontId="3" fillId="0" borderId="0" xfId="57" applyAlignment="1">
      <alignment horizontal="center"/>
    </xf>
    <xf numFmtId="0" fontId="73" fillId="0" borderId="0" xfId="0" applyFont="1" applyAlignment="1"/>
    <xf numFmtId="3" fontId="72" fillId="32" borderId="42" xfId="0" applyNumberFormat="1" applyFont="1" applyFill="1" applyBorder="1" applyAlignment="1">
      <alignment horizontal="center" vertical="center" wrapText="1"/>
    </xf>
    <xf numFmtId="3" fontId="72" fillId="32" borderId="43" xfId="0" applyNumberFormat="1" applyFont="1" applyFill="1" applyBorder="1" applyAlignment="1">
      <alignment horizontal="center" vertical="center" wrapText="1"/>
    </xf>
    <xf numFmtId="9" fontId="6" fillId="0" borderId="0" xfId="0" applyNumberFormat="1" applyFont="1" applyAlignment="1">
      <alignment horizontal="center"/>
    </xf>
    <xf numFmtId="9" fontId="56" fillId="0" borderId="0" xfId="0" applyNumberFormat="1" applyFont="1" applyAlignment="1" applyProtection="1">
      <alignment horizontal="center"/>
      <protection locked="0" hidden="1"/>
    </xf>
    <xf numFmtId="0" fontId="6" fillId="0" borderId="0" xfId="0" applyFont="1" applyAlignment="1">
      <alignment horizontal="center"/>
    </xf>
    <xf numFmtId="9" fontId="81" fillId="0" borderId="49" xfId="0" applyNumberFormat="1" applyFont="1" applyBorder="1" applyAlignment="1" applyProtection="1">
      <alignment horizontal="left" vertical="top"/>
      <protection locked="0" hidden="1"/>
    </xf>
    <xf numFmtId="9" fontId="82" fillId="0" borderId="0" xfId="0" applyNumberFormat="1" applyFont="1" applyAlignment="1" applyProtection="1">
      <alignment horizontal="left" vertical="top"/>
      <protection locked="0" hidden="1"/>
    </xf>
    <xf numFmtId="0" fontId="15" fillId="0" borderId="16" xfId="58" applyFont="1" applyFill="1" applyBorder="1" applyAlignment="1">
      <alignment horizontal="center"/>
    </xf>
    <xf numFmtId="0" fontId="15" fillId="0" borderId="22" xfId="58" applyFont="1" applyFill="1" applyBorder="1" applyAlignment="1">
      <alignment horizontal="center"/>
    </xf>
    <xf numFmtId="0" fontId="69" fillId="0" borderId="0" xfId="58" applyFont="1" applyAlignment="1">
      <alignment horizontal="center"/>
    </xf>
    <xf numFmtId="0" fontId="15" fillId="0" borderId="22" xfId="58" applyFont="1" applyBorder="1" applyAlignment="1">
      <alignment horizontal="center"/>
    </xf>
    <xf numFmtId="0" fontId="73" fillId="0" borderId="42" xfId="0" applyFont="1" applyBorder="1" applyAlignment="1">
      <alignment horizontal="left"/>
    </xf>
    <xf numFmtId="0" fontId="73" fillId="0" borderId="36" xfId="0" applyFont="1" applyBorder="1" applyAlignment="1">
      <alignment horizontal="left"/>
    </xf>
    <xf numFmtId="0" fontId="73" fillId="0" borderId="43" xfId="0" applyFont="1" applyBorder="1" applyAlignment="1">
      <alignment horizontal="left"/>
    </xf>
    <xf numFmtId="42" fontId="72" fillId="32" borderId="42" xfId="0" applyNumberFormat="1" applyFont="1" applyFill="1" applyBorder="1" applyAlignment="1">
      <alignment horizontal="center"/>
    </xf>
    <xf numFmtId="42" fontId="72" fillId="32" borderId="43" xfId="0" applyNumberFormat="1" applyFont="1" applyFill="1" applyBorder="1" applyAlignment="1">
      <alignment horizontal="center"/>
    </xf>
    <xf numFmtId="42" fontId="73" fillId="0" borderId="42" xfId="0" applyNumberFormat="1" applyFont="1" applyBorder="1" applyAlignment="1">
      <alignment horizontal="left"/>
    </xf>
    <xf numFmtId="42" fontId="73" fillId="0" borderId="43" xfId="0" applyNumberFormat="1" applyFont="1" applyBorder="1" applyAlignment="1">
      <alignment horizontal="left"/>
    </xf>
    <xf numFmtId="42" fontId="80" fillId="0" borderId="42" xfId="0" applyNumberFormat="1" applyFont="1" applyBorder="1" applyAlignment="1">
      <alignment horizontal="left"/>
    </xf>
    <xf numFmtId="42" fontId="80" fillId="0" borderId="43" xfId="0" applyNumberFormat="1" applyFont="1" applyBorder="1" applyAlignment="1">
      <alignment horizontal="left"/>
    </xf>
    <xf numFmtId="42" fontId="74" fillId="33" borderId="42" xfId="0" applyNumberFormat="1" applyFont="1" applyFill="1" applyBorder="1" applyAlignment="1">
      <alignment horizontal="center"/>
    </xf>
    <xf numFmtId="42" fontId="74" fillId="33" borderId="43" xfId="0" applyNumberFormat="1" applyFont="1" applyFill="1" applyBorder="1" applyAlignment="1">
      <alignment horizontal="center"/>
    </xf>
    <xf numFmtId="0" fontId="70" fillId="0" borderId="0" xfId="0" applyFont="1" applyBorder="1" applyAlignment="1">
      <alignment horizontal="center"/>
    </xf>
    <xf numFmtId="168" fontId="15" fillId="31" borderId="22" xfId="41" applyNumberFormat="1" applyFont="1" applyFill="1" applyBorder="1" applyAlignment="1">
      <alignment horizontal="center"/>
    </xf>
    <xf numFmtId="0" fontId="0" fillId="0" borderId="16" xfId="0" applyBorder="1" applyAlignment="1">
      <alignment horizontal="center"/>
    </xf>
    <xf numFmtId="0" fontId="15" fillId="0" borderId="11" xfId="0" applyFont="1" applyBorder="1" applyAlignment="1">
      <alignment horizontal="center" wrapText="1"/>
    </xf>
    <xf numFmtId="0" fontId="0" fillId="0" borderId="11" xfId="0" applyBorder="1" applyAlignment="1">
      <alignment horizontal="center" wrapText="1"/>
    </xf>
    <xf numFmtId="0" fontId="0" fillId="0" borderId="0" xfId="0" applyAlignment="1">
      <alignment horizontal="center"/>
    </xf>
    <xf numFmtId="165" fontId="15" fillId="0" borderId="16" xfId="41" applyNumberFormat="1" applyFont="1" applyFill="1" applyBorder="1" applyAlignment="1">
      <alignment horizontal="center"/>
    </xf>
    <xf numFmtId="168" fontId="15" fillId="31" borderId="16" xfId="41" applyNumberFormat="1" applyFont="1" applyFill="1" applyBorder="1" applyAlignment="1">
      <alignment horizontal="center"/>
    </xf>
    <xf numFmtId="0" fontId="15" fillId="31" borderId="16" xfId="0" applyFont="1" applyFill="1" applyBorder="1" applyAlignment="1">
      <alignment horizontal="center"/>
    </xf>
    <xf numFmtId="0" fontId="70" fillId="0" borderId="11" xfId="0" applyFont="1" applyBorder="1" applyAlignment="1">
      <alignment horizontal="center"/>
    </xf>
    <xf numFmtId="0" fontId="15" fillId="0" borderId="16" xfId="0" applyFont="1" applyFill="1" applyBorder="1" applyAlignment="1">
      <alignment horizontal="left"/>
    </xf>
    <xf numFmtId="0" fontId="3" fillId="0" borderId="0" xfId="0" applyFont="1" applyFill="1" applyAlignment="1">
      <alignment horizontal="center"/>
    </xf>
    <xf numFmtId="0" fontId="19" fillId="0" borderId="0" xfId="0" applyFont="1" applyFill="1" applyAlignment="1">
      <alignment horizontal="center"/>
    </xf>
    <xf numFmtId="0" fontId="24" fillId="0" borderId="0" xfId="0" applyFont="1" applyFill="1" applyAlignment="1">
      <alignment horizontal="center"/>
    </xf>
    <xf numFmtId="0" fontId="15" fillId="33" borderId="19" xfId="0" applyFont="1" applyFill="1" applyBorder="1" applyAlignment="1">
      <alignment horizontal="left"/>
    </xf>
    <xf numFmtId="0" fontId="15" fillId="33" borderId="16" xfId="0" applyFont="1" applyFill="1" applyBorder="1" applyAlignment="1">
      <alignment horizontal="left"/>
    </xf>
    <xf numFmtId="0" fontId="15" fillId="33" borderId="24" xfId="0" applyFont="1" applyFill="1" applyBorder="1" applyAlignment="1">
      <alignment horizontal="left"/>
    </xf>
    <xf numFmtId="0" fontId="62" fillId="32" borderId="21" xfId="0" applyFont="1" applyFill="1" applyBorder="1" applyAlignment="1">
      <alignment horizontal="center" vertical="top" wrapText="1"/>
    </xf>
    <xf numFmtId="164" fontId="24" fillId="0" borderId="21" xfId="35" applyNumberFormat="1" applyFont="1" applyFill="1" applyBorder="1" applyAlignment="1">
      <alignment horizontal="center"/>
    </xf>
    <xf numFmtId="0" fontId="24" fillId="0" borderId="21" xfId="0" applyFont="1" applyFill="1" applyBorder="1" applyAlignment="1">
      <alignment horizontal="center" vertical="center" wrapText="1"/>
    </xf>
    <xf numFmtId="169" fontId="15" fillId="0" borderId="21" xfId="0" applyNumberFormat="1" applyFont="1" applyBorder="1" applyAlignment="1">
      <alignment horizontal="center" vertical="center" wrapText="1"/>
    </xf>
    <xf numFmtId="0" fontId="24" fillId="0" borderId="21" xfId="0" applyFont="1" applyFill="1" applyBorder="1" applyAlignment="1">
      <alignment horizontal="center"/>
    </xf>
    <xf numFmtId="164" fontId="24" fillId="0" borderId="21" xfId="0" applyNumberFormat="1" applyFont="1" applyFill="1" applyBorder="1" applyAlignment="1">
      <alignment horizontal="center"/>
    </xf>
    <xf numFmtId="0" fontId="24" fillId="0" borderId="21" xfId="0" applyFont="1" applyBorder="1" applyAlignment="1">
      <alignment horizontal="center" vertical="center" wrapText="1"/>
    </xf>
    <xf numFmtId="0" fontId="24" fillId="0" borderId="21" xfId="0" applyFont="1" applyBorder="1" applyAlignment="1">
      <alignment horizontal="center" vertical="center"/>
    </xf>
    <xf numFmtId="0" fontId="62" fillId="32" borderId="2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169" fontId="15" fillId="0" borderId="20" xfId="0" applyNumberFormat="1" applyFont="1" applyBorder="1" applyAlignment="1">
      <alignment horizontal="center" vertical="center" wrapText="1"/>
    </xf>
    <xf numFmtId="169" fontId="15" fillId="0" borderId="12" xfId="0" applyNumberFormat="1" applyFont="1" applyBorder="1" applyAlignment="1">
      <alignment horizontal="center" vertical="center" wrapText="1"/>
    </xf>
    <xf numFmtId="169" fontId="15" fillId="0" borderId="18" xfId="0" applyNumberFormat="1" applyFont="1" applyBorder="1" applyAlignment="1">
      <alignment horizontal="center" vertical="center" wrapText="1"/>
    </xf>
    <xf numFmtId="0" fontId="24" fillId="0" borderId="3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0" xfId="35" applyNumberFormat="1" applyFont="1" applyFill="1" applyBorder="1" applyAlignment="1">
      <alignment horizontal="center" vertical="center" wrapText="1"/>
    </xf>
    <xf numFmtId="0" fontId="24" fillId="0" borderId="12" xfId="35" applyNumberFormat="1" applyFont="1" applyFill="1" applyBorder="1" applyAlignment="1">
      <alignment horizontal="center" vertical="center" wrapText="1"/>
    </xf>
    <xf numFmtId="0" fontId="24" fillId="0" borderId="18" xfId="35" applyNumberFormat="1" applyFont="1" applyFill="1" applyBorder="1" applyAlignment="1">
      <alignment horizontal="center" vertical="center" wrapText="1"/>
    </xf>
    <xf numFmtId="164" fontId="24" fillId="0" borderId="21" xfId="35" applyNumberFormat="1" applyFont="1" applyFill="1" applyBorder="1" applyAlignment="1">
      <alignment horizontal="center" vertical="center" wrapText="1"/>
    </xf>
    <xf numFmtId="164" fontId="24" fillId="0" borderId="21" xfId="0" applyNumberFormat="1" applyFont="1" applyFill="1" applyBorder="1" applyAlignment="1">
      <alignment horizontal="center" vertical="center" wrapText="1"/>
    </xf>
    <xf numFmtId="49" fontId="62" fillId="32" borderId="21" xfId="0" applyNumberFormat="1" applyFont="1" applyFill="1" applyBorder="1" applyAlignment="1">
      <alignment horizontal="center" vertical="top" wrapText="1"/>
    </xf>
    <xf numFmtId="0" fontId="0" fillId="0" borderId="15" xfId="0" applyBorder="1" applyAlignment="1">
      <alignment horizontal="center"/>
    </xf>
    <xf numFmtId="0" fontId="24" fillId="0" borderId="19"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4" xfId="0" applyBorder="1" applyAlignment="1">
      <alignment horizontal="center" vertical="center" wrapText="1"/>
    </xf>
    <xf numFmtId="169" fontId="15" fillId="0" borderId="21" xfId="0" applyNumberFormat="1" applyFont="1" applyFill="1" applyBorder="1" applyAlignment="1">
      <alignment horizontal="center" vertical="center" wrapText="1"/>
    </xf>
    <xf numFmtId="0" fontId="24" fillId="0" borderId="21" xfId="35" applyNumberFormat="1" applyFont="1" applyFill="1" applyBorder="1" applyAlignment="1">
      <alignment horizontal="center" vertical="center" wrapText="1"/>
    </xf>
    <xf numFmtId="174" fontId="24" fillId="0" borderId="21" xfId="0" applyNumberFormat="1" applyFont="1" applyFill="1" applyBorder="1" applyAlignment="1">
      <alignment horizontal="center" vertical="center"/>
    </xf>
    <xf numFmtId="0" fontId="24" fillId="0" borderId="21" xfId="0" applyFont="1" applyBorder="1" applyAlignment="1"/>
    <xf numFmtId="169" fontId="15" fillId="0" borderId="20" xfId="0" applyNumberFormat="1" applyFont="1" applyFill="1" applyBorder="1" applyAlignment="1">
      <alignment horizontal="center" vertical="center" wrapText="1"/>
    </xf>
    <xf numFmtId="169" fontId="15" fillId="0" borderId="12" xfId="0" applyNumberFormat="1" applyFont="1" applyFill="1" applyBorder="1" applyAlignment="1">
      <alignment horizontal="center" vertical="center" wrapText="1"/>
    </xf>
    <xf numFmtId="169" fontId="15" fillId="0" borderId="18" xfId="0" applyNumberFormat="1" applyFont="1" applyFill="1" applyBorder="1" applyAlignment="1">
      <alignment horizontal="center" vertical="center" wrapText="1"/>
    </xf>
    <xf numFmtId="169" fontId="15" fillId="0" borderId="21" xfId="0" applyNumberFormat="1" applyFont="1" applyFill="1" applyBorder="1" applyAlignment="1">
      <alignment horizontal="center"/>
    </xf>
    <xf numFmtId="169" fontId="15" fillId="0" borderId="21" xfId="0" applyNumberFormat="1" applyFont="1" applyFill="1" applyBorder="1" applyAlignment="1">
      <alignment horizontal="center" vertical="top" wrapText="1"/>
    </xf>
    <xf numFmtId="175" fontId="24" fillId="0" borderId="21" xfId="0" applyNumberFormat="1" applyFont="1" applyFill="1" applyBorder="1" applyAlignment="1">
      <alignment horizontal="center" vertical="center" wrapText="1"/>
    </xf>
    <xf numFmtId="0" fontId="24" fillId="0" borderId="21" xfId="0" applyFont="1" applyFill="1" applyBorder="1" applyAlignment="1">
      <alignment horizontal="center" vertical="top" wrapText="1"/>
    </xf>
    <xf numFmtId="0" fontId="71" fillId="0" borderId="21" xfId="0" applyFont="1" applyFill="1" applyBorder="1" applyAlignment="1">
      <alignment horizontal="center" vertical="center" wrapText="1"/>
    </xf>
    <xf numFmtId="0" fontId="24" fillId="0" borderId="20"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174" fontId="24" fillId="0" borderId="20" xfId="0" applyNumberFormat="1" applyFont="1" applyFill="1" applyBorder="1" applyAlignment="1">
      <alignment horizontal="center" vertical="center"/>
    </xf>
    <xf numFmtId="174" fontId="24" fillId="0" borderId="12" xfId="0" applyNumberFormat="1" applyFont="1" applyFill="1" applyBorder="1" applyAlignment="1">
      <alignment horizontal="center" vertical="center"/>
    </xf>
    <xf numFmtId="174" fontId="24" fillId="0" borderId="18" xfId="0" applyNumberFormat="1" applyFont="1" applyFill="1" applyBorder="1" applyAlignment="1">
      <alignment horizontal="center" vertical="center"/>
    </xf>
    <xf numFmtId="0" fontId="24" fillId="0" borderId="1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4" xfId="0" applyFont="1" applyBorder="1" applyAlignment="1">
      <alignment horizontal="center" vertical="center" wrapText="1"/>
    </xf>
    <xf numFmtId="175" fontId="24" fillId="0" borderId="21" xfId="0" applyNumberFormat="1" applyFont="1" applyFill="1" applyBorder="1" applyAlignment="1">
      <alignment horizontal="center" vertical="top" wrapText="1"/>
    </xf>
    <xf numFmtId="0" fontId="24" fillId="0" borderId="20" xfId="0" applyFont="1" applyFill="1" applyBorder="1" applyAlignment="1">
      <alignment horizontal="center"/>
    </xf>
    <xf numFmtId="0" fontId="24" fillId="0" borderId="12" xfId="0" applyFont="1" applyFill="1" applyBorder="1" applyAlignment="1">
      <alignment horizontal="center"/>
    </xf>
    <xf numFmtId="0" fontId="24" fillId="0" borderId="18" xfId="0" applyFont="1" applyFill="1" applyBorder="1" applyAlignment="1">
      <alignment horizontal="center"/>
    </xf>
    <xf numFmtId="164" fontId="24" fillId="0" borderId="19" xfId="0" applyNumberFormat="1" applyFont="1" applyFill="1" applyBorder="1" applyAlignment="1">
      <alignment horizontal="left" vertical="center" wrapText="1"/>
    </xf>
    <xf numFmtId="164" fontId="24" fillId="0" borderId="16" xfId="0" applyNumberFormat="1" applyFont="1" applyFill="1" applyBorder="1" applyAlignment="1">
      <alignment horizontal="left" vertical="center" wrapText="1"/>
    </xf>
    <xf numFmtId="164" fontId="24" fillId="0" borderId="24" xfId="0" applyNumberFormat="1" applyFont="1" applyFill="1" applyBorder="1" applyAlignment="1">
      <alignment horizontal="left" vertical="center" wrapText="1"/>
    </xf>
    <xf numFmtId="0" fontId="24" fillId="0" borderId="21" xfId="0" applyFont="1" applyFill="1" applyBorder="1" applyAlignment="1">
      <alignment horizontal="center" wrapText="1"/>
    </xf>
    <xf numFmtId="0" fontId="63" fillId="32" borderId="21" xfId="0" applyFont="1" applyFill="1" applyBorder="1" applyAlignment="1">
      <alignment horizontal="center" vertical="top" wrapText="1"/>
    </xf>
    <xf numFmtId="0" fontId="62" fillId="32" borderId="20" xfId="0" applyFont="1" applyFill="1" applyBorder="1" applyAlignment="1">
      <alignment horizontal="center" vertical="top" wrapText="1"/>
    </xf>
    <xf numFmtId="0" fontId="62" fillId="32" borderId="18" xfId="0" applyFont="1" applyFill="1" applyBorder="1" applyAlignment="1">
      <alignment horizontal="center" vertical="top" wrapText="1"/>
    </xf>
    <xf numFmtId="49" fontId="62" fillId="32" borderId="20" xfId="0" applyNumberFormat="1" applyFont="1" applyFill="1" applyBorder="1" applyAlignment="1">
      <alignment horizontal="center" vertical="top" wrapText="1"/>
    </xf>
    <xf numFmtId="49" fontId="62" fillId="32" borderId="18" xfId="0" applyNumberFormat="1" applyFont="1" applyFill="1" applyBorder="1" applyAlignment="1">
      <alignment horizontal="center" vertical="top" wrapText="1"/>
    </xf>
    <xf numFmtId="164" fontId="24" fillId="0" borderId="21" xfId="35" applyNumberFormat="1" applyFont="1" applyFill="1" applyBorder="1" applyAlignment="1">
      <alignment vertical="center" wrapText="1"/>
    </xf>
    <xf numFmtId="0" fontId="63" fillId="32" borderId="20" xfId="0" applyFont="1" applyFill="1" applyBorder="1" applyAlignment="1">
      <alignment horizontal="center" vertical="top" wrapText="1"/>
    </xf>
    <xf numFmtId="0" fontId="63" fillId="32" borderId="18" xfId="0" applyFont="1" applyFill="1" applyBorder="1" applyAlignment="1">
      <alignment horizontal="center" vertical="top" wrapText="1"/>
    </xf>
    <xf numFmtId="169" fontId="62" fillId="32" borderId="20" xfId="0" applyNumberFormat="1" applyFont="1" applyFill="1" applyBorder="1" applyAlignment="1">
      <alignment horizontal="center" vertical="top" wrapText="1"/>
    </xf>
    <xf numFmtId="169" fontId="62" fillId="32" borderId="18" xfId="0" applyNumberFormat="1" applyFont="1" applyFill="1" applyBorder="1" applyAlignment="1">
      <alignment horizontal="center" vertical="top" wrapText="1"/>
    </xf>
    <xf numFmtId="169" fontId="15" fillId="0" borderId="21" xfId="0" applyNumberFormat="1" applyFont="1" applyBorder="1" applyAlignment="1">
      <alignment horizontal="center" vertical="top" wrapText="1"/>
    </xf>
    <xf numFmtId="169" fontId="15" fillId="0" borderId="21" xfId="0" applyNumberFormat="1" applyFont="1" applyFill="1" applyBorder="1" applyAlignment="1">
      <alignment horizontal="center" vertical="center"/>
    </xf>
    <xf numFmtId="0" fontId="24" fillId="0" borderId="21" xfId="0" applyFont="1" applyBorder="1" applyAlignment="1">
      <alignment horizontal="center"/>
    </xf>
    <xf numFmtId="0" fontId="69" fillId="0" borderId="0" xfId="0" applyFont="1" applyAlignment="1">
      <alignment horizontal="left"/>
    </xf>
    <xf numFmtId="0" fontId="3" fillId="0" borderId="0" xfId="0" applyFont="1" applyAlignment="1">
      <alignment horizontal="center"/>
    </xf>
    <xf numFmtId="0" fontId="15" fillId="0" borderId="0" xfId="0" applyFont="1" applyAlignment="1">
      <alignment horizontal="center" vertical="top" wrapText="1"/>
    </xf>
    <xf numFmtId="0" fontId="24" fillId="0" borderId="0" xfId="0" applyNumberFormat="1" applyFont="1" applyFill="1" applyAlignment="1">
      <alignment horizontal="left" vertical="center" wrapText="1"/>
    </xf>
    <xf numFmtId="0" fontId="15" fillId="0" borderId="0" xfId="0" quotePrefix="1" applyFont="1" applyAlignment="1">
      <alignment horizontal="center"/>
    </xf>
    <xf numFmtId="0" fontId="62" fillId="32" borderId="39" xfId="0" applyFont="1" applyFill="1" applyBorder="1" applyAlignment="1">
      <alignment horizontal="center" vertical="center" wrapText="1"/>
    </xf>
    <xf numFmtId="0" fontId="62" fillId="32" borderId="39" xfId="0" applyFont="1" applyFill="1" applyBorder="1" applyAlignment="1">
      <alignment horizontal="center" vertical="top" wrapText="1"/>
    </xf>
    <xf numFmtId="0" fontId="24" fillId="0" borderId="20" xfId="0" applyFont="1" applyBorder="1" applyAlignment="1">
      <alignment horizontal="center" vertical="top" wrapText="1"/>
    </xf>
    <xf numFmtId="0" fontId="24" fillId="0" borderId="12" xfId="0" applyFont="1" applyBorder="1" applyAlignment="1">
      <alignment horizontal="center" vertical="top" wrapText="1"/>
    </xf>
    <xf numFmtId="0" fontId="24" fillId="0" borderId="18" xfId="0" applyFont="1" applyBorder="1" applyAlignment="1">
      <alignment horizontal="center" vertical="top" wrapText="1"/>
    </xf>
    <xf numFmtId="169" fontId="15" fillId="0" borderId="20" xfId="0" applyNumberFormat="1" applyFont="1" applyBorder="1" applyAlignment="1">
      <alignment horizontal="center" vertical="top" wrapText="1"/>
    </xf>
    <xf numFmtId="169" fontId="15" fillId="0" borderId="12" xfId="0" applyNumberFormat="1" applyFont="1" applyBorder="1" applyAlignment="1">
      <alignment horizontal="center" vertical="top" wrapText="1"/>
    </xf>
    <xf numFmtId="169" fontId="15" fillId="0" borderId="18" xfId="0" applyNumberFormat="1" applyFont="1" applyBorder="1" applyAlignment="1">
      <alignment horizontal="center" vertical="top" wrapText="1"/>
    </xf>
    <xf numFmtId="0" fontId="22" fillId="0" borderId="40" xfId="0" applyFont="1" applyBorder="1" applyAlignment="1">
      <alignment horizontal="center" vertical="top" wrapText="1"/>
    </xf>
    <xf numFmtId="0" fontId="62" fillId="32" borderId="20" xfId="0" applyFont="1" applyFill="1" applyBorder="1" applyAlignment="1">
      <alignment horizontal="center" vertical="center" wrapText="1"/>
    </xf>
    <xf numFmtId="0" fontId="62" fillId="32" borderId="18" xfId="0" applyFont="1" applyFill="1" applyBorder="1" applyAlignment="1">
      <alignment horizontal="center" vertical="center" wrapText="1"/>
    </xf>
    <xf numFmtId="164" fontId="24" fillId="0" borderId="21" xfId="0" applyNumberFormat="1" applyFont="1" applyBorder="1" applyAlignment="1">
      <alignment horizontal="center"/>
    </xf>
    <xf numFmtId="185" fontId="24" fillId="0" borderId="22" xfId="0" applyNumberFormat="1" applyFont="1" applyBorder="1" applyAlignment="1">
      <alignment horizontal="center" vertical="center"/>
    </xf>
    <xf numFmtId="185" fontId="24" fillId="0" borderId="23" xfId="0" applyNumberFormat="1" applyFont="1" applyBorder="1" applyAlignment="1">
      <alignment horizontal="center" vertical="center"/>
    </xf>
    <xf numFmtId="164" fontId="24" fillId="0" borderId="21" xfId="0" applyNumberFormat="1" applyFont="1" applyBorder="1" applyAlignment="1">
      <alignment horizontal="center" vertical="center" wrapText="1"/>
    </xf>
    <xf numFmtId="165" fontId="24" fillId="0" borderId="21" xfId="41" applyNumberFormat="1" applyFont="1" applyFill="1" applyBorder="1" applyAlignment="1">
      <alignment horizontal="center" vertical="center" wrapText="1"/>
    </xf>
    <xf numFmtId="166" fontId="24" fillId="0" borderId="20" xfId="0" applyNumberFormat="1" applyFont="1" applyBorder="1" applyAlignment="1">
      <alignment horizontal="center" vertical="center" wrapText="1"/>
    </xf>
    <xf numFmtId="0" fontId="24" fillId="0" borderId="21" xfId="0" applyFont="1" applyFill="1" applyBorder="1" applyAlignment="1">
      <alignment horizontal="center" vertical="center"/>
    </xf>
    <xf numFmtId="164" fontId="24" fillId="0" borderId="34" xfId="0" applyNumberFormat="1" applyFont="1" applyBorder="1" applyAlignment="1">
      <alignment horizontal="center" vertical="center" wrapText="1"/>
    </xf>
    <xf numFmtId="164" fontId="24" fillId="0" borderId="22" xfId="0" applyNumberFormat="1" applyFont="1" applyBorder="1" applyAlignment="1">
      <alignment horizontal="center" vertical="center" wrapText="1"/>
    </xf>
    <xf numFmtId="175" fontId="24" fillId="0" borderId="21" xfId="0" applyNumberFormat="1" applyFont="1" applyBorder="1" applyAlignment="1">
      <alignment horizontal="center" vertical="top" wrapText="1"/>
    </xf>
    <xf numFmtId="0" fontId="24" fillId="0" borderId="21" xfId="0" applyFont="1" applyBorder="1" applyAlignment="1">
      <alignment horizontal="center" vertical="top" wrapText="1"/>
    </xf>
    <xf numFmtId="6" fontId="24" fillId="0" borderId="20" xfId="0" applyNumberFormat="1" applyFont="1" applyBorder="1" applyAlignment="1">
      <alignment horizontal="center" vertical="center" wrapText="1"/>
    </xf>
    <xf numFmtId="6" fontId="24" fillId="0" borderId="12" xfId="0" applyNumberFormat="1" applyFont="1" applyBorder="1" applyAlignment="1">
      <alignment horizontal="center" vertical="center" wrapText="1"/>
    </xf>
    <xf numFmtId="6" fontId="24" fillId="0" borderId="18"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12" xfId="0" applyFont="1" applyBorder="1" applyAlignment="1">
      <alignment horizontal="center" vertical="center"/>
    </xf>
    <xf numFmtId="0" fontId="24" fillId="0" borderId="18" xfId="0" applyFont="1" applyBorder="1" applyAlignment="1">
      <alignment horizontal="center" vertical="center"/>
    </xf>
    <xf numFmtId="174" fontId="24" fillId="0" borderId="21" xfId="0" applyNumberFormat="1" applyFont="1" applyFill="1" applyBorder="1" applyAlignment="1">
      <alignment horizontal="center" vertical="center" wrapText="1"/>
    </xf>
    <xf numFmtId="169" fontId="24" fillId="0" borderId="21" xfId="0" applyNumberFormat="1" applyFont="1" applyBorder="1" applyAlignment="1">
      <alignment horizontal="center" vertical="center"/>
    </xf>
    <xf numFmtId="0" fontId="24" fillId="0" borderId="21" xfId="0" applyFont="1" applyBorder="1" applyAlignment="1">
      <alignment horizontal="center" wrapText="1"/>
    </xf>
    <xf numFmtId="170" fontId="24" fillId="0" borderId="21" xfId="0" applyNumberFormat="1" applyFont="1" applyBorder="1" applyAlignment="1">
      <alignment horizontal="center" vertical="center" wrapText="1"/>
    </xf>
    <xf numFmtId="169" fontId="24" fillId="0" borderId="21" xfId="0" applyNumberFormat="1" applyFont="1" applyFill="1" applyBorder="1" applyAlignment="1">
      <alignment horizontal="center" vertical="center" wrapText="1"/>
    </xf>
    <xf numFmtId="169" fontId="62" fillId="32" borderId="21" xfId="0" applyNumberFormat="1" applyFont="1" applyFill="1" applyBorder="1" applyAlignment="1">
      <alignment horizontal="center" vertical="top" wrapText="1"/>
    </xf>
    <xf numFmtId="0" fontId="24" fillId="0" borderId="0" xfId="0" applyFont="1" applyAlignment="1">
      <alignment horizontal="left" vertical="center" wrapText="1"/>
    </xf>
    <xf numFmtId="9" fontId="15" fillId="0" borderId="0" xfId="0" applyNumberFormat="1" applyFont="1" applyAlignment="1">
      <alignment horizontal="center" vertical="top" wrapText="1"/>
    </xf>
    <xf numFmtId="0" fontId="0" fillId="0" borderId="0" xfId="0"/>
    <xf numFmtId="0" fontId="24" fillId="0" borderId="34" xfId="0" applyFont="1" applyBorder="1" applyAlignment="1">
      <alignment horizontal="center"/>
    </xf>
    <xf numFmtId="0" fontId="24" fillId="0" borderId="22" xfId="0" applyFont="1" applyBorder="1" applyAlignment="1">
      <alignment horizontal="center"/>
    </xf>
    <xf numFmtId="0" fontId="0" fillId="0" borderId="23" xfId="0" applyBorder="1" applyAlignment="1">
      <alignment horizontal="center"/>
    </xf>
    <xf numFmtId="0" fontId="24" fillId="0" borderId="35" xfId="0" applyFont="1" applyBorder="1" applyAlignment="1">
      <alignment horizontal="center"/>
    </xf>
    <xf numFmtId="0" fontId="24" fillId="0" borderId="11" xfId="0" applyFont="1" applyBorder="1" applyAlignment="1">
      <alignment horizontal="center"/>
    </xf>
    <xf numFmtId="0" fontId="0" fillId="0" borderId="17" xfId="0" applyBorder="1" applyAlignment="1">
      <alignment horizontal="center"/>
    </xf>
    <xf numFmtId="169" fontId="24" fillId="0" borderId="21" xfId="41" applyNumberFormat="1" applyFont="1" applyFill="1" applyBorder="1" applyAlignment="1">
      <alignment horizontal="center" vertical="center" wrapText="1"/>
    </xf>
    <xf numFmtId="164" fontId="24" fillId="0" borderId="19" xfId="0" applyNumberFormat="1" applyFont="1" applyBorder="1" applyAlignment="1">
      <alignment horizontal="center" vertical="center" wrapText="1"/>
    </xf>
    <xf numFmtId="164" fontId="24" fillId="0" borderId="16" xfId="0" applyNumberFormat="1" applyFont="1" applyBorder="1" applyAlignment="1">
      <alignment horizontal="center" vertical="center" wrapText="1"/>
    </xf>
    <xf numFmtId="164" fontId="24" fillId="0" borderId="24" xfId="0" applyNumberFormat="1" applyFont="1" applyBorder="1" applyAlignment="1">
      <alignment horizontal="center" vertical="center" wrapText="1"/>
    </xf>
    <xf numFmtId="169" fontId="24" fillId="0" borderId="22" xfId="0" applyNumberFormat="1" applyFont="1" applyBorder="1" applyAlignment="1">
      <alignment horizontal="center" vertical="center"/>
    </xf>
    <xf numFmtId="169" fontId="24" fillId="0" borderId="23" xfId="0" applyNumberFormat="1" applyFont="1" applyBorder="1" applyAlignment="1">
      <alignment horizontal="center" vertical="center"/>
    </xf>
    <xf numFmtId="169" fontId="24" fillId="0" borderId="20" xfId="0" applyNumberFormat="1" applyFont="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center" vertical="center" wrapText="1"/>
    </xf>
    <xf numFmtId="169" fontId="24" fillId="0" borderId="21" xfId="0" applyNumberFormat="1" applyFont="1" applyBorder="1" applyAlignment="1">
      <alignment horizontal="center" vertical="center" wrapText="1"/>
    </xf>
    <xf numFmtId="174" fontId="24" fillId="0" borderId="21" xfId="0" applyNumberFormat="1" applyFont="1" applyBorder="1" applyAlignment="1">
      <alignment horizontal="center" vertical="center" wrapText="1"/>
    </xf>
    <xf numFmtId="169" fontId="15" fillId="0" borderId="21" xfId="0" applyNumberFormat="1" applyFont="1" applyBorder="1" applyAlignment="1">
      <alignment horizontal="center" vertical="center"/>
    </xf>
    <xf numFmtId="0" fontId="24" fillId="0" borderId="20" xfId="0" applyFont="1" applyBorder="1" applyAlignment="1">
      <alignment horizontal="center"/>
    </xf>
    <xf numFmtId="0" fontId="0" fillId="0" borderId="18" xfId="0" applyBorder="1" applyAlignment="1">
      <alignment horizontal="center"/>
    </xf>
    <xf numFmtId="174" fontId="24" fillId="0" borderId="21" xfId="0" applyNumberFormat="1" applyFont="1" applyBorder="1" applyAlignment="1">
      <alignment horizontal="center" vertical="center"/>
    </xf>
    <xf numFmtId="169" fontId="15" fillId="0" borderId="21" xfId="0" applyNumberFormat="1" applyFont="1" applyBorder="1" applyAlignment="1">
      <alignment horizontal="center"/>
    </xf>
    <xf numFmtId="174" fontId="24" fillId="0" borderId="20" xfId="0" applyNumberFormat="1" applyFont="1" applyBorder="1" applyAlignment="1">
      <alignment horizontal="center" vertical="center"/>
    </xf>
    <xf numFmtId="174" fontId="24" fillId="0" borderId="18" xfId="0" applyNumberFormat="1" applyFont="1" applyBorder="1" applyAlignment="1">
      <alignment horizontal="center" vertical="center"/>
    </xf>
    <xf numFmtId="169" fontId="15" fillId="0" borderId="20" xfId="0" applyNumberFormat="1" applyFont="1" applyBorder="1" applyAlignment="1">
      <alignment horizontal="center" vertical="center"/>
    </xf>
    <xf numFmtId="169" fontId="15" fillId="0" borderId="18" xfId="0" applyNumberFormat="1" applyFont="1" applyBorder="1" applyAlignment="1">
      <alignment horizontal="center" vertical="center"/>
    </xf>
    <xf numFmtId="0" fontId="15"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12" xfId="0" applyBorder="1" applyAlignment="1">
      <alignment horizontal="center"/>
    </xf>
    <xf numFmtId="164" fontId="24" fillId="0" borderId="19" xfId="0" applyNumberFormat="1" applyFont="1" applyBorder="1" applyAlignment="1">
      <alignment horizontal="left" vertical="center" wrapText="1"/>
    </xf>
    <xf numFmtId="164" fontId="24" fillId="0" borderId="16" xfId="0" applyNumberFormat="1" applyFont="1" applyBorder="1" applyAlignment="1">
      <alignment horizontal="left" vertical="center" wrapText="1"/>
    </xf>
    <xf numFmtId="164" fontId="24" fillId="0" borderId="24" xfId="0" applyNumberFormat="1" applyFont="1" applyBorder="1" applyAlignment="1">
      <alignment horizontal="left"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175" fontId="24" fillId="0" borderId="21" xfId="0" applyNumberFormat="1" applyFont="1" applyBorder="1" applyAlignment="1">
      <alignment horizontal="center" vertical="center" wrapText="1"/>
    </xf>
    <xf numFmtId="0" fontId="71" fillId="0" borderId="21" xfId="0" applyFont="1" applyBorder="1" applyAlignment="1">
      <alignment horizontal="center" vertical="center" wrapText="1"/>
    </xf>
    <xf numFmtId="0" fontId="71" fillId="0" borderId="20" xfId="0" applyFont="1" applyBorder="1" applyAlignment="1">
      <alignment horizontal="center" vertical="center" wrapText="1"/>
    </xf>
    <xf numFmtId="0" fontId="24" fillId="0" borderId="21" xfId="0" applyFont="1" applyBorder="1"/>
    <xf numFmtId="174" fontId="24" fillId="0" borderId="12" xfId="0" applyNumberFormat="1" applyFont="1" applyBorder="1" applyAlignment="1">
      <alignment horizontal="center" vertical="center"/>
    </xf>
    <xf numFmtId="0" fontId="24" fillId="0" borderId="34"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center" vertical="center" wrapText="1"/>
    </xf>
    <xf numFmtId="0" fontId="24" fillId="0" borderId="15"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0" xfId="0" applyFont="1" applyFill="1" applyBorder="1" applyAlignment="1">
      <alignment horizontal="center" vertical="top" wrapText="1"/>
    </xf>
    <xf numFmtId="0" fontId="24" fillId="0" borderId="12" xfId="0" applyFont="1" applyFill="1" applyBorder="1" applyAlignment="1">
      <alignment horizontal="center" vertical="top" wrapText="1"/>
    </xf>
    <xf numFmtId="0" fontId="24" fillId="0" borderId="18" xfId="0" applyFont="1" applyFill="1" applyBorder="1" applyAlignment="1">
      <alignment horizontal="center" vertical="top" wrapText="1"/>
    </xf>
    <xf numFmtId="164" fontId="24" fillId="0" borderId="34" xfId="0" applyNumberFormat="1" applyFont="1" applyFill="1" applyBorder="1" applyAlignment="1">
      <alignment horizontal="center" vertical="center" wrapText="1"/>
    </xf>
    <xf numFmtId="164" fontId="24" fillId="0" borderId="22" xfId="0" applyNumberFormat="1"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24" xfId="0" applyFont="1" applyFill="1" applyBorder="1" applyAlignment="1">
      <alignment horizontal="center" vertical="center" wrapText="1"/>
    </xf>
    <xf numFmtId="169" fontId="15" fillId="0" borderId="20" xfId="0" applyNumberFormat="1" applyFont="1" applyFill="1" applyBorder="1" applyAlignment="1">
      <alignment horizontal="center" vertical="center"/>
    </xf>
    <xf numFmtId="169" fontId="15" fillId="0" borderId="18" xfId="0" applyNumberFormat="1" applyFont="1" applyFill="1" applyBorder="1" applyAlignment="1">
      <alignment horizontal="center" vertical="center"/>
    </xf>
    <xf numFmtId="0" fontId="24" fillId="0" borderId="18" xfId="0" applyFont="1" applyFill="1" applyBorder="1" applyAlignment="1">
      <alignment horizontal="center" vertical="center"/>
    </xf>
    <xf numFmtId="0" fontId="15" fillId="0" borderId="20" xfId="0" applyFont="1" applyFill="1" applyBorder="1" applyAlignment="1">
      <alignment horizontal="center" vertical="center" wrapText="1"/>
    </xf>
    <xf numFmtId="0" fontId="71" fillId="0" borderId="20" xfId="0"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24" xfId="0" applyNumberFormat="1" applyFont="1" applyFill="1" applyBorder="1" applyAlignment="1">
      <alignment horizontal="center" vertical="center" wrapText="1"/>
    </xf>
  </cellXfs>
  <cellStyles count="123">
    <cellStyle name="_x0013_" xfId="1" xr:uid="{00000000-0005-0000-0000-000000000000}"/>
    <cellStyle name="$/kW" xfId="2" xr:uid="{00000000-0005-0000-0000-000001000000}"/>
    <cellStyle name="$/kW 2" xfId="99" xr:uid="{00000000-0005-0000-0000-000002000000}"/>
    <cellStyle name="$/kWh" xfId="3" xr:uid="{00000000-0005-0000-0000-000003000000}"/>
    <cellStyle name="$/kWh 2" xfId="100" xr:uid="{00000000-0005-0000-0000-000004000000}"/>
    <cellStyle name="$/kW-yr" xfId="4" xr:uid="{00000000-0005-0000-0000-000005000000}"/>
    <cellStyle name="$/kW-yr 2" xfId="101" xr:uid="{00000000-0005-0000-0000-000006000000}"/>
    <cellStyle name="$/MWh" xfId="5" xr:uid="{00000000-0005-0000-0000-000007000000}"/>
    <cellStyle name="$/MWh 2" xfId="102" xr:uid="{00000000-0005-0000-0000-000008000000}"/>
    <cellStyle name="$M" xfId="6" xr:uid="{00000000-0005-0000-0000-000009000000}"/>
    <cellStyle name="$M 2" xfId="103" xr:uid="{00000000-0005-0000-0000-00000A000000}"/>
    <cellStyle name="20% - Accent1" xfId="7" builtinId="30" customBuiltin="1"/>
    <cellStyle name="20% - Accent2" xfId="8" builtinId="34" customBuiltin="1"/>
    <cellStyle name="20% - Accent3" xfId="9" builtinId="38" customBuiltin="1"/>
    <cellStyle name="20% - Accent4" xfId="10" builtinId="42" customBuiltin="1"/>
    <cellStyle name="20% - Accent5" xfId="11" builtinId="46" customBuiltin="1"/>
    <cellStyle name="20% - Accent6" xfId="12" builtinId="50" customBuiltin="1"/>
    <cellStyle name="40% - Accent1" xfId="13" builtinId="31" customBuiltin="1"/>
    <cellStyle name="40% - Accent2" xfId="14" builtinId="35" customBuiltin="1"/>
    <cellStyle name="40% - Accent3" xfId="15" builtinId="39" customBuiltin="1"/>
    <cellStyle name="40% - Accent4" xfId="16" builtinId="43" customBuiltin="1"/>
    <cellStyle name="40% - Accent5" xfId="17" builtinId="47" customBuiltin="1"/>
    <cellStyle name="40% - Accent6" xfId="18" builtinId="51" customBuiltin="1"/>
    <cellStyle name="60% - Accent1" xfId="19" builtinId="32" customBuiltin="1"/>
    <cellStyle name="60% - Accent2" xfId="20" builtinId="36" customBuiltin="1"/>
    <cellStyle name="60% - Accent3" xfId="21" builtinId="40" customBuiltin="1"/>
    <cellStyle name="60% - Accent4" xfId="22" builtinId="44" customBuiltin="1"/>
    <cellStyle name="60% - Accent5" xfId="23" builtinId="48" customBuiltin="1"/>
    <cellStyle name="60% - Accent6" xfId="24" builtinId="52" customBuiltin="1"/>
    <cellStyle name="Accent1" xfId="25" builtinId="29" customBuiltin="1"/>
    <cellStyle name="Accent2" xfId="26" builtinId="33" customBuiltin="1"/>
    <cellStyle name="Accent3" xfId="27" builtinId="37" customBuiltin="1"/>
    <cellStyle name="Accent4" xfId="28" builtinId="41" customBuiltin="1"/>
    <cellStyle name="Accent5" xfId="29" builtinId="45" customBuiltin="1"/>
    <cellStyle name="Accent6" xfId="30" builtinId="49" customBuiltin="1"/>
    <cellStyle name="Bad" xfId="31" builtinId="27" customBuiltin="1"/>
    <cellStyle name="Calculation" xfId="32" builtinId="22" customBuiltin="1"/>
    <cellStyle name="cents" xfId="33" xr:uid="{00000000-0005-0000-0000-000025000000}"/>
    <cellStyle name="cents 2" xfId="104" xr:uid="{00000000-0005-0000-0000-000026000000}"/>
    <cellStyle name="Check Cell" xfId="34" builtinId="23" customBuiltin="1"/>
    <cellStyle name="Comma" xfId="35" builtinId="3"/>
    <cellStyle name="Comma [0] 2" xfId="36" xr:uid="{00000000-0005-0000-0000-000029000000}"/>
    <cellStyle name="Comma 2" xfId="37" xr:uid="{00000000-0005-0000-0000-00002A000000}"/>
    <cellStyle name="Comma 2 2" xfId="38" xr:uid="{00000000-0005-0000-0000-00002B000000}"/>
    <cellStyle name="Comma 2 3" xfId="105" xr:uid="{00000000-0005-0000-0000-00002C000000}"/>
    <cellStyle name="Comma 3" xfId="39" xr:uid="{00000000-0005-0000-0000-00002D000000}"/>
    <cellStyle name="Comma 3 2" xfId="111" xr:uid="{00000000-0005-0000-0000-00002E000000}"/>
    <cellStyle name="Comma 4" xfId="40" xr:uid="{00000000-0005-0000-0000-00002F000000}"/>
    <cellStyle name="Comma 5" xfId="90" xr:uid="{00000000-0005-0000-0000-000030000000}"/>
    <cellStyle name="Comma 6" xfId="91" xr:uid="{00000000-0005-0000-0000-000031000000}"/>
    <cellStyle name="Comma 7" xfId="92" xr:uid="{00000000-0005-0000-0000-000032000000}"/>
    <cellStyle name="Comma 8" xfId="93" xr:uid="{00000000-0005-0000-0000-000033000000}"/>
    <cellStyle name="Currency" xfId="41" builtinId="4"/>
    <cellStyle name="Currency 2" xfId="42" xr:uid="{00000000-0005-0000-0000-000035000000}"/>
    <cellStyle name="Currency 2 2" xfId="43" xr:uid="{00000000-0005-0000-0000-000036000000}"/>
    <cellStyle name="Currency 2 2 2" xfId="122" xr:uid="{00000000-0005-0000-0000-000037000000}"/>
    <cellStyle name="Currency 2 3" xfId="106" xr:uid="{00000000-0005-0000-0000-000038000000}"/>
    <cellStyle name="Currency 3" xfId="44" xr:uid="{00000000-0005-0000-0000-000039000000}"/>
    <cellStyle name="Currency 3 2" xfId="112" xr:uid="{00000000-0005-0000-0000-00003A000000}"/>
    <cellStyle name="Currency 4" xfId="45" xr:uid="{00000000-0005-0000-0000-00003B000000}"/>
    <cellStyle name="Explanatory Text" xfId="46" builtinId="53" customBuiltin="1"/>
    <cellStyle name="Good" xfId="47" builtinId="26" customBuiltin="1"/>
    <cellStyle name="Heading 1" xfId="48" builtinId="16" customBuiltin="1"/>
    <cellStyle name="Heading 2" xfId="49" builtinId="17" customBuiltin="1"/>
    <cellStyle name="Heading 3" xfId="50" builtinId="18" customBuiltin="1"/>
    <cellStyle name="Heading 4" xfId="51" builtinId="19" customBuiltin="1"/>
    <cellStyle name="Hyperlink 2" xfId="52" xr:uid="{00000000-0005-0000-0000-000042000000}"/>
    <cellStyle name="Hyperlink 3" xfId="53" xr:uid="{00000000-0005-0000-0000-000043000000}"/>
    <cellStyle name="Input" xfId="54" builtinId="20" customBuiltin="1"/>
    <cellStyle name="Linked Cell" xfId="55" builtinId="24" customBuiltin="1"/>
    <cellStyle name="Neutral" xfId="56" builtinId="28" customBuiltin="1"/>
    <cellStyle name="Normal" xfId="0" builtinId="0"/>
    <cellStyle name="Normal 2" xfId="57" xr:uid="{00000000-0005-0000-0000-000048000000}"/>
    <cellStyle name="Normal 2 2" xfId="58" xr:uid="{00000000-0005-0000-0000-000049000000}"/>
    <cellStyle name="Normal 2 3" xfId="59" xr:uid="{00000000-0005-0000-0000-00004A000000}"/>
    <cellStyle name="Normal 2 3 2" xfId="113" xr:uid="{00000000-0005-0000-0000-00004B000000}"/>
    <cellStyle name="Normal 2 4" xfId="94" xr:uid="{00000000-0005-0000-0000-00004C000000}"/>
    <cellStyle name="Normal 2 4 2" xfId="114" xr:uid="{00000000-0005-0000-0000-00004D000000}"/>
    <cellStyle name="Normal 3" xfId="60" xr:uid="{00000000-0005-0000-0000-00004E000000}"/>
    <cellStyle name="Normal 3 2" xfId="61" xr:uid="{00000000-0005-0000-0000-00004F000000}"/>
    <cellStyle name="Normal 3 3" xfId="62" xr:uid="{00000000-0005-0000-0000-000050000000}"/>
    <cellStyle name="Normal 3 3 2" xfId="116" xr:uid="{00000000-0005-0000-0000-000051000000}"/>
    <cellStyle name="Normal 3 4" xfId="115" xr:uid="{00000000-0005-0000-0000-000052000000}"/>
    <cellStyle name="Normal 4" xfId="63" xr:uid="{00000000-0005-0000-0000-000053000000}"/>
    <cellStyle name="Normal 5" xfId="64" xr:uid="{00000000-0005-0000-0000-000054000000}"/>
    <cellStyle name="Normal 5 2" xfId="65" xr:uid="{00000000-0005-0000-0000-000055000000}"/>
    <cellStyle name="Normal 6" xfId="66" xr:uid="{00000000-0005-0000-0000-000056000000}"/>
    <cellStyle name="Normal 6 2" xfId="117" xr:uid="{00000000-0005-0000-0000-000057000000}"/>
    <cellStyle name="Normal 7" xfId="95" xr:uid="{00000000-0005-0000-0000-000058000000}"/>
    <cellStyle name="Normal 7 2" xfId="118" xr:uid="{00000000-0005-0000-0000-000059000000}"/>
    <cellStyle name="Normal 9" xfId="121" xr:uid="{00000000-0005-0000-0000-00005A000000}"/>
    <cellStyle name="Note" xfId="67" builtinId="10" customBuiltin="1"/>
    <cellStyle name="Note 2" xfId="68" xr:uid="{00000000-0005-0000-0000-00005C000000}"/>
    <cellStyle name="Note 2 2" xfId="69" xr:uid="{00000000-0005-0000-0000-00005D000000}"/>
    <cellStyle name="Note 2 2 2" xfId="107" xr:uid="{00000000-0005-0000-0000-00005E000000}"/>
    <cellStyle name="Note 2 2 3" xfId="108" xr:uid="{00000000-0005-0000-0000-00005F000000}"/>
    <cellStyle name="Note 2 3" xfId="96" xr:uid="{00000000-0005-0000-0000-000060000000}"/>
    <cellStyle name="Note 2 4" xfId="97" xr:uid="{00000000-0005-0000-0000-000061000000}"/>
    <cellStyle name="Note 2 5" xfId="98" xr:uid="{00000000-0005-0000-0000-000062000000}"/>
    <cellStyle name="Output" xfId="70" builtinId="21" customBuiltin="1"/>
    <cellStyle name="Percent" xfId="71" builtinId="5"/>
    <cellStyle name="Percent 2" xfId="72" xr:uid="{00000000-0005-0000-0000-000065000000}"/>
    <cellStyle name="Percent 2 2" xfId="73" xr:uid="{00000000-0005-0000-0000-000066000000}"/>
    <cellStyle name="Percent 2 3" xfId="109" xr:uid="{00000000-0005-0000-0000-000067000000}"/>
    <cellStyle name="Percent 3" xfId="74" xr:uid="{00000000-0005-0000-0000-000068000000}"/>
    <cellStyle name="Percent 3 2" xfId="110" xr:uid="{00000000-0005-0000-0000-000069000000}"/>
    <cellStyle name="Percent 4" xfId="75" xr:uid="{00000000-0005-0000-0000-00006A000000}"/>
    <cellStyle name="Percent 4 2" xfId="76" xr:uid="{00000000-0005-0000-0000-00006B000000}"/>
    <cellStyle name="PSChar" xfId="77" xr:uid="{00000000-0005-0000-0000-00006C000000}"/>
    <cellStyle name="SEM-BPS-input-on" xfId="78" xr:uid="{00000000-0005-0000-0000-00006D000000}"/>
    <cellStyle name="Style 29" xfId="79" xr:uid="{00000000-0005-0000-0000-00006E000000}"/>
    <cellStyle name="Style 29 2" xfId="80" xr:uid="{00000000-0005-0000-0000-00006F000000}"/>
    <cellStyle name="Style 35" xfId="81" xr:uid="{00000000-0005-0000-0000-000070000000}"/>
    <cellStyle name="Style 35 2" xfId="119" xr:uid="{00000000-0005-0000-0000-000071000000}"/>
    <cellStyle name="Style 36" xfId="82" xr:uid="{00000000-0005-0000-0000-000072000000}"/>
    <cellStyle name="Style 36 2" xfId="120" xr:uid="{00000000-0005-0000-0000-000073000000}"/>
    <cellStyle name="Table" xfId="83" xr:uid="{00000000-0005-0000-0000-000074000000}"/>
    <cellStyle name="Title" xfId="84" builtinId="15" customBuiltin="1"/>
    <cellStyle name="Total" xfId="85" builtinId="25" customBuiltin="1"/>
    <cellStyle name="Warning Text" xfId="86" builtinId="11" customBuiltin="1"/>
    <cellStyle name="桁区切り [0.00]_NG price &amp; consumption-2007-06-01" xfId="87" xr:uid="{00000000-0005-0000-0000-000078000000}"/>
    <cellStyle name="桁区切り_NG price &amp; consumption-2007-06-01" xfId="88" xr:uid="{00000000-0005-0000-0000-000079000000}"/>
    <cellStyle name="標準_NG price &amp; consumption-2007-06-01" xfId="89" xr:uid="{00000000-0005-0000-0000-00007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61"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a:t>EE Revenue By Customer Class</a:t>
            </a:r>
          </a:p>
        </c:rich>
      </c:tx>
      <c:layout>
        <c:manualLayout>
          <c:xMode val="edge"/>
          <c:yMode val="edge"/>
          <c:x val="0.22270742358078602"/>
          <c:y val="3.6065573770491806E-2"/>
        </c:manualLayout>
      </c:layout>
      <c:overlay val="0"/>
      <c:spPr>
        <a:noFill/>
        <a:ln w="25400">
          <a:noFill/>
        </a:ln>
      </c:spPr>
    </c:title>
    <c:autoTitleDeleted val="0"/>
    <c:plotArea>
      <c:layout>
        <c:manualLayout>
          <c:layoutTarget val="inner"/>
          <c:xMode val="edge"/>
          <c:yMode val="edge"/>
          <c:x val="0.34497816593886466"/>
          <c:y val="0.3377049180327869"/>
          <c:w val="0.31877729257641924"/>
          <c:h val="0.478688524590163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EF8-4264-BEBA-119BD06CB79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EF8-4264-BEBA-119BD06CB79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EF8-4264-BEBA-119BD06CB79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EF8-4264-BEBA-119BD06CB79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4EF8-4264-BEBA-119BD06CB79C}"/>
              </c:ext>
            </c:extLst>
          </c:dPt>
          <c:dLbls>
            <c:dLbl>
              <c:idx val="0"/>
              <c:layout>
                <c:manualLayout>
                  <c:x val="0.12027507478595746"/>
                  <c:y val="5.58874402994707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EF8-4264-BEBA-119BD06CB79C}"/>
                </c:ext>
              </c:extLst>
            </c:dLbl>
            <c:dLbl>
              <c:idx val="1"/>
              <c:layout>
                <c:manualLayout>
                  <c:x val="6.31977443867551E-2"/>
                  <c:y val="5.37804741620412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EF8-4264-BEBA-119BD06CB79C}"/>
                </c:ext>
              </c:extLst>
            </c:dLbl>
            <c:dLbl>
              <c:idx val="2"/>
              <c:delete val="1"/>
              <c:extLst>
                <c:ext xmlns:c15="http://schemas.microsoft.com/office/drawing/2012/chart" uri="{CE6537A1-D6FC-4f65-9D91-7224C49458BB}"/>
                <c:ext xmlns:c16="http://schemas.microsoft.com/office/drawing/2014/chart" uri="{C3380CC4-5D6E-409C-BE32-E72D297353CC}">
                  <c16:uniqueId val="{00000004-4EF8-4264-BEBA-119BD06CB79C}"/>
                </c:ext>
              </c:extLst>
            </c:dLbl>
            <c:dLbl>
              <c:idx val="3"/>
              <c:layout>
                <c:manualLayout>
                  <c:x val="0.11633795229744753"/>
                  <c:y val="-2.06397315089712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EF8-4264-BEBA-119BD06CB79C}"/>
                </c:ext>
              </c:extLst>
            </c:dLbl>
            <c:dLbl>
              <c:idx val="4"/>
              <c:delete val="1"/>
              <c:extLst>
                <c:ext xmlns:c15="http://schemas.microsoft.com/office/drawing/2012/chart" uri="{CE6537A1-D6FC-4f65-9D91-7224C49458BB}"/>
                <c:ext xmlns:c16="http://schemas.microsoft.com/office/drawing/2014/chart" uri="{C3380CC4-5D6E-409C-BE32-E72D297353CC}">
                  <c16:uniqueId val="{00000008-4EF8-4264-BEBA-119BD06CB79C}"/>
                </c:ext>
              </c:extLst>
            </c:dLbl>
            <c:dLbl>
              <c:idx val="5"/>
              <c:layout>
                <c:manualLayout>
                  <c:xMode val="edge"/>
                  <c:yMode val="edge"/>
                  <c:x val="0.32751091703056767"/>
                  <c:y val="9.50819672131147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EF8-4264-BEBA-119BD06CB79C}"/>
                </c:ext>
              </c:extLst>
            </c:dLbl>
            <c:dLbl>
              <c:idx val="6"/>
              <c:layout>
                <c:manualLayout>
                  <c:xMode val="edge"/>
                  <c:yMode val="edge"/>
                  <c:x val="0.45196506550218341"/>
                  <c:y val="0.15409836065573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EF8-4264-BEBA-119BD06CB79C}"/>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('2021 Joint Table A1 Pies'!$B$30:$B$31,'2021 Joint Table A1 Pies'!$B$33:$B$34)</c:f>
              <c:strCache>
                <c:ptCount val="4"/>
                <c:pt idx="0">
                  <c:v>Res. Income-Eligible</c:v>
                </c:pt>
                <c:pt idx="1">
                  <c:v>Res. Non Income-Eligible</c:v>
                </c:pt>
                <c:pt idx="3">
                  <c:v>C&amp;I </c:v>
                </c:pt>
              </c:strCache>
            </c:strRef>
          </c:cat>
          <c:val>
            <c:numRef>
              <c:f>('2021 Joint Table A1 Pies'!$G$30:$G$31,'2021 Joint Table A1 Pies'!$G$33:$G$34)</c:f>
              <c:numCache>
                <c:formatCode>0%</c:formatCode>
                <c:ptCount val="4"/>
                <c:pt idx="0">
                  <c:v>0.1298</c:v>
                </c:pt>
                <c:pt idx="1">
                  <c:v>0.30230000000000001</c:v>
                </c:pt>
                <c:pt idx="3">
                  <c:v>0.56789999999999996</c:v>
                </c:pt>
              </c:numCache>
            </c:numRef>
          </c:val>
          <c:extLst>
            <c:ext xmlns:c16="http://schemas.microsoft.com/office/drawing/2014/chart" uri="{C3380CC4-5D6E-409C-BE32-E72D297353CC}">
              <c16:uniqueId val="{0000000B-4EF8-4264-BEBA-119BD06CB79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aseline="0"/>
              <a:t>EE Budget By Customer Class</a:t>
            </a:r>
          </a:p>
        </c:rich>
      </c:tx>
      <c:layout>
        <c:manualLayout>
          <c:xMode val="edge"/>
          <c:yMode val="edge"/>
          <c:x val="0.23750026246719158"/>
          <c:y val="3.6065573770491806E-2"/>
        </c:manualLayout>
      </c:layout>
      <c:overlay val="0"/>
      <c:spPr>
        <a:noFill/>
        <a:ln w="25400">
          <a:noFill/>
        </a:ln>
      </c:spPr>
    </c:title>
    <c:autoTitleDeleted val="0"/>
    <c:plotArea>
      <c:layout>
        <c:manualLayout>
          <c:layoutTarget val="inner"/>
          <c:xMode val="edge"/>
          <c:yMode val="edge"/>
          <c:x val="0.32000039062547686"/>
          <c:y val="0.33442622950819673"/>
          <c:w val="0.35500043335013837"/>
          <c:h val="0.4655737704918032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C6E-4D7C-9FBA-C6E84756CC9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C6E-4D7C-9FBA-C6E84756CC97}"/>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4-8C6E-4D7C-9FBA-C6E84756CC97}"/>
              </c:ext>
            </c:extLst>
          </c:dPt>
          <c:dLbls>
            <c:dLbl>
              <c:idx val="0"/>
              <c:layout>
                <c:manualLayout>
                  <c:x val="0.14662460225588966"/>
                  <c:y val="3.0212815754718559E-2"/>
                </c:manualLayout>
              </c:layout>
              <c:tx>
                <c:rich>
                  <a:bodyPr/>
                  <a:lstStyle/>
                  <a:p>
                    <a:fld id="{8822EB7E-C648-4171-B0D3-7C983AD4ABCE}"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C6E-4D7C-9FBA-C6E84756CC97}"/>
                </c:ext>
              </c:extLst>
            </c:dLbl>
            <c:dLbl>
              <c:idx val="1"/>
              <c:layout>
                <c:manualLayout>
                  <c:x val="3.7081456335144411E-2"/>
                  <c:y val="1.108523729615765E-2"/>
                </c:manualLayout>
              </c:layout>
              <c:tx>
                <c:rich>
                  <a:bodyPr/>
                  <a:lstStyle/>
                  <a:p>
                    <a:fld id="{1718E016-86BA-43BC-BD8A-9F47BC524436}" type="CATEGORYNAME">
                      <a:rPr lang="en-US"/>
                      <a:pPr/>
                      <a:t>[CATEGORY NAME]</a:t>
                    </a:fld>
                    <a:r>
                      <a:rPr lang="en-US" baseline="0"/>
                      <a:t>
31%</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8C6E-4D7C-9FBA-C6E84756CC97}"/>
                </c:ext>
              </c:extLst>
            </c:dLbl>
            <c:dLbl>
              <c:idx val="2"/>
              <c:layout>
                <c:manualLayout>
                  <c:x val="0.12085721784776902"/>
                  <c:y val="-3.94310055505356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C6E-4D7C-9FBA-C6E84756CC97}"/>
                </c:ext>
              </c:extLst>
            </c:dLbl>
            <c:dLbl>
              <c:idx val="3"/>
              <c:layout>
                <c:manualLayout>
                  <c:xMode val="edge"/>
                  <c:yMode val="edge"/>
                  <c:x val="0.20000024414092302"/>
                  <c:y val="0.5540983606557377"/>
                </c:manualLayout>
              </c:layout>
              <c:tx>
                <c:rich>
                  <a:bodyPr/>
                  <a:lstStyle/>
                  <a:p>
                    <a:r>
                      <a:t>C&amp;I
59.0%</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C6E-4D7C-9FBA-C6E84756CC97}"/>
                </c:ext>
              </c:extLst>
            </c:dLbl>
            <c:dLbl>
              <c:idx val="5"/>
              <c:layout>
                <c:manualLayout>
                  <c:xMode val="edge"/>
                  <c:yMode val="edge"/>
                  <c:x val="0.43000052490298452"/>
                  <c:y val="0.177049180327868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C6E-4D7C-9FBA-C6E84756CC97}"/>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('2021 Joint Table A1 Pies'!$B$30:$B$31,'2021 Joint Table A1 Pies'!$B$34)</c:f>
              <c:strCache>
                <c:ptCount val="3"/>
                <c:pt idx="0">
                  <c:v>Res. Income-Eligible</c:v>
                </c:pt>
                <c:pt idx="1">
                  <c:v>Res. Non Income-Eligible</c:v>
                </c:pt>
                <c:pt idx="2">
                  <c:v>C&amp;I </c:v>
                </c:pt>
              </c:strCache>
            </c:strRef>
          </c:cat>
          <c:val>
            <c:numRef>
              <c:f>('2021 Joint Table A1 Pies'!$F$30:$F$31,'2021 Joint Table A1 Pies'!$F$34)</c:f>
              <c:numCache>
                <c:formatCode>0%</c:formatCode>
                <c:ptCount val="3"/>
                <c:pt idx="0">
                  <c:v>0.14591276026082112</c:v>
                </c:pt>
                <c:pt idx="1">
                  <c:v>0.39068227011574791</c:v>
                </c:pt>
                <c:pt idx="2">
                  <c:v>0.45537152432217998</c:v>
                </c:pt>
              </c:numCache>
            </c:numRef>
          </c:val>
          <c:extLst>
            <c:ext xmlns:c16="http://schemas.microsoft.com/office/drawing/2014/chart" uri="{C3380CC4-5D6E-409C-BE32-E72D297353CC}">
              <c16:uniqueId val="{00000007-8C6E-4D7C-9FBA-C6E84756CC9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a:t>EE Revenue By Customer Class</a:t>
            </a:r>
          </a:p>
        </c:rich>
      </c:tx>
      <c:layout>
        <c:manualLayout>
          <c:xMode val="edge"/>
          <c:yMode val="edge"/>
          <c:x val="0.22270742358078602"/>
          <c:y val="3.6065573770491806E-2"/>
        </c:manualLayout>
      </c:layout>
      <c:overlay val="0"/>
      <c:spPr>
        <a:noFill/>
        <a:ln w="25400">
          <a:noFill/>
        </a:ln>
      </c:spPr>
    </c:title>
    <c:autoTitleDeleted val="0"/>
    <c:plotArea>
      <c:layout>
        <c:manualLayout>
          <c:layoutTarget val="inner"/>
          <c:xMode val="edge"/>
          <c:yMode val="edge"/>
          <c:x val="0.34497816593886466"/>
          <c:y val="0.3377049180327869"/>
          <c:w val="0.31877729257641924"/>
          <c:h val="0.478688524590163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215-4CA1-B432-C5E20CCE270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215-4CA1-B432-C5E20CCE270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215-4CA1-B432-C5E20CCE270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215-4CA1-B432-C5E20CCE270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4215-4CA1-B432-C5E20CCE270C}"/>
              </c:ext>
            </c:extLst>
          </c:dPt>
          <c:dLbls>
            <c:dLbl>
              <c:idx val="0"/>
              <c:layout>
                <c:manualLayout>
                  <c:x val="0.12027507478595746"/>
                  <c:y val="5.58874402994707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215-4CA1-B432-C5E20CCE270C}"/>
                </c:ext>
              </c:extLst>
            </c:dLbl>
            <c:dLbl>
              <c:idx val="1"/>
              <c:layout>
                <c:manualLayout>
                  <c:x val="6.31977443867551E-2"/>
                  <c:y val="5.3780474162041292E-2"/>
                </c:manualLayout>
              </c:layout>
              <c:tx>
                <c:rich>
                  <a:bodyPr/>
                  <a:lstStyle/>
                  <a:p>
                    <a:fld id="{1B77EB68-F3DA-4A50-9E1C-B48ECE37C425}" type="CATEGORYNAME">
                      <a:rPr lang="en-US"/>
                      <a:pPr/>
                      <a:t>[CATEGORY NAME]</a:t>
                    </a:fld>
                    <a:r>
                      <a:rPr lang="en-US" baseline="0"/>
                      <a:t>
34%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215-4CA1-B432-C5E20CCE270C}"/>
                </c:ext>
              </c:extLst>
            </c:dLbl>
            <c:dLbl>
              <c:idx val="2"/>
              <c:delete val="1"/>
              <c:extLst>
                <c:ext xmlns:c15="http://schemas.microsoft.com/office/drawing/2012/chart" uri="{CE6537A1-D6FC-4f65-9D91-7224C49458BB}"/>
                <c:ext xmlns:c16="http://schemas.microsoft.com/office/drawing/2014/chart" uri="{C3380CC4-5D6E-409C-BE32-E72D297353CC}">
                  <c16:uniqueId val="{00000004-4215-4CA1-B432-C5E20CCE270C}"/>
                </c:ext>
              </c:extLst>
            </c:dLbl>
            <c:dLbl>
              <c:idx val="3"/>
              <c:layout>
                <c:manualLayout>
                  <c:x val="0.11633795229744753"/>
                  <c:y val="-2.0639731508971214E-2"/>
                </c:manualLayout>
              </c:layout>
              <c:tx>
                <c:rich>
                  <a:bodyPr/>
                  <a:lstStyle/>
                  <a:p>
                    <a:fld id="{53799D81-9FB8-4A82-8E77-7651814228C6}" type="CATEGORYNAME">
                      <a:rPr lang="en-US"/>
                      <a:pPr/>
                      <a:t>[CATEGORY NAME]</a:t>
                    </a:fld>
                    <a:r>
                      <a:rPr lang="en-US" baseline="0"/>
                      <a:t>
53%</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4215-4CA1-B432-C5E20CCE270C}"/>
                </c:ext>
              </c:extLst>
            </c:dLbl>
            <c:dLbl>
              <c:idx val="4"/>
              <c:delete val="1"/>
              <c:extLst>
                <c:ext xmlns:c15="http://schemas.microsoft.com/office/drawing/2012/chart" uri="{CE6537A1-D6FC-4f65-9D91-7224C49458BB}"/>
                <c:ext xmlns:c16="http://schemas.microsoft.com/office/drawing/2014/chart" uri="{C3380CC4-5D6E-409C-BE32-E72D297353CC}">
                  <c16:uniqueId val="{00000008-4215-4CA1-B432-C5E20CCE270C}"/>
                </c:ext>
              </c:extLst>
            </c:dLbl>
            <c:dLbl>
              <c:idx val="5"/>
              <c:layout>
                <c:manualLayout>
                  <c:xMode val="edge"/>
                  <c:yMode val="edge"/>
                  <c:x val="0.32751091703056767"/>
                  <c:y val="9.50819672131147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215-4CA1-B432-C5E20CCE270C}"/>
                </c:ext>
              </c:extLst>
            </c:dLbl>
            <c:dLbl>
              <c:idx val="6"/>
              <c:layout>
                <c:manualLayout>
                  <c:xMode val="edge"/>
                  <c:yMode val="edge"/>
                  <c:x val="0.45196506550218341"/>
                  <c:y val="0.15409836065573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215-4CA1-B432-C5E20CCE270C}"/>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('2022 Joint Table A1 Pies '!$B$30:$B$31,'2022 Joint Table A1 Pies '!$B$33:$B$34)</c:f>
              <c:strCache>
                <c:ptCount val="4"/>
                <c:pt idx="0">
                  <c:v>Res. Income-Eligible</c:v>
                </c:pt>
                <c:pt idx="1">
                  <c:v>Res. Non Income-Eligible</c:v>
                </c:pt>
                <c:pt idx="3">
                  <c:v>C&amp;I </c:v>
                </c:pt>
              </c:strCache>
            </c:strRef>
          </c:cat>
          <c:val>
            <c:numRef>
              <c:f>('2022 Joint Table A1 Pies '!$G$30:$G$31,'2022 Joint Table A1 Pies '!$G$33:$G$34)</c:f>
              <c:numCache>
                <c:formatCode>0%</c:formatCode>
                <c:ptCount val="4"/>
                <c:pt idx="0">
                  <c:v>0.12614</c:v>
                </c:pt>
                <c:pt idx="1">
                  <c:v>0.34504000000000001</c:v>
                </c:pt>
                <c:pt idx="3">
                  <c:v>0.52881999999999996</c:v>
                </c:pt>
              </c:numCache>
            </c:numRef>
          </c:val>
          <c:extLst>
            <c:ext xmlns:c16="http://schemas.microsoft.com/office/drawing/2014/chart" uri="{C3380CC4-5D6E-409C-BE32-E72D297353CC}">
              <c16:uniqueId val="{0000000B-4215-4CA1-B432-C5E20CCE270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aseline="0"/>
              <a:t>EE Budget By Customer Class</a:t>
            </a:r>
          </a:p>
        </c:rich>
      </c:tx>
      <c:layout>
        <c:manualLayout>
          <c:xMode val="edge"/>
          <c:yMode val="edge"/>
          <c:x val="0.23750026246719158"/>
          <c:y val="3.6065573770491806E-2"/>
        </c:manualLayout>
      </c:layout>
      <c:overlay val="0"/>
      <c:spPr>
        <a:noFill/>
        <a:ln w="25400">
          <a:noFill/>
        </a:ln>
      </c:spPr>
    </c:title>
    <c:autoTitleDeleted val="0"/>
    <c:plotArea>
      <c:layout>
        <c:manualLayout>
          <c:layoutTarget val="inner"/>
          <c:xMode val="edge"/>
          <c:yMode val="edge"/>
          <c:x val="0.32000039062547686"/>
          <c:y val="0.33442622950819673"/>
          <c:w val="0.35500043335013837"/>
          <c:h val="0.4655737704918032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C86-43F8-B90D-3C986D815FC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C86-43F8-B90D-3C986D815FC6}"/>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4-DC86-43F8-B90D-3C986D815FC6}"/>
              </c:ext>
            </c:extLst>
          </c:dPt>
          <c:dLbls>
            <c:dLbl>
              <c:idx val="0"/>
              <c:layout>
                <c:manualLayout>
                  <c:x val="0.14662460225588966"/>
                  <c:y val="3.0212815754718559E-2"/>
                </c:manualLayout>
              </c:layout>
              <c:tx>
                <c:rich>
                  <a:bodyPr/>
                  <a:lstStyle/>
                  <a:p>
                    <a:fld id="{8822EB7E-C648-4171-B0D3-7C983AD4ABCE}"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C86-43F8-B90D-3C986D815FC6}"/>
                </c:ext>
              </c:extLst>
            </c:dLbl>
            <c:dLbl>
              <c:idx val="1"/>
              <c:layout>
                <c:manualLayout>
                  <c:x val="3.7081456335144411E-2"/>
                  <c:y val="1.108523729615765E-2"/>
                </c:manualLayout>
              </c:layout>
              <c:tx>
                <c:rich>
                  <a:bodyPr/>
                  <a:lstStyle/>
                  <a:p>
                    <a:fld id="{1718E016-86BA-43BC-BD8A-9F47BC524436}" type="CATEGORYNAME">
                      <a:rPr lang="en-US"/>
                      <a:pPr/>
                      <a:t>[CATEGORY NAME]</a:t>
                    </a:fld>
                    <a:r>
                      <a:rPr lang="en-US" baseline="0"/>
                      <a:t>
33%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C86-43F8-B90D-3C986D815FC6}"/>
                </c:ext>
              </c:extLst>
            </c:dLbl>
            <c:dLbl>
              <c:idx val="2"/>
              <c:layout>
                <c:manualLayout>
                  <c:x val="0.12085721784776902"/>
                  <c:y val="-3.9431005550535692E-2"/>
                </c:manualLayout>
              </c:layout>
              <c:tx>
                <c:rich>
                  <a:bodyPr/>
                  <a:lstStyle/>
                  <a:p>
                    <a:r>
                      <a:rPr lang="en-US"/>
                      <a:t>C&amp;I</a:t>
                    </a:r>
                    <a:r>
                      <a:rPr lang="en-US" baseline="0"/>
                      <a:t>
53%</a:t>
                    </a:r>
                    <a:endParaRPr lang="en-US"/>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DC86-43F8-B90D-3C986D815FC6}"/>
                </c:ext>
              </c:extLst>
            </c:dLbl>
            <c:dLbl>
              <c:idx val="3"/>
              <c:layout>
                <c:manualLayout>
                  <c:xMode val="edge"/>
                  <c:yMode val="edge"/>
                  <c:x val="0.20000024414092302"/>
                  <c:y val="0.5540983606557377"/>
                </c:manualLayout>
              </c:layout>
              <c:tx>
                <c:rich>
                  <a:bodyPr/>
                  <a:lstStyle/>
                  <a:p>
                    <a:r>
                      <a:t>C&amp;I
59.0%</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C86-43F8-B90D-3C986D815FC6}"/>
                </c:ext>
              </c:extLst>
            </c:dLbl>
            <c:dLbl>
              <c:idx val="5"/>
              <c:layout>
                <c:manualLayout>
                  <c:xMode val="edge"/>
                  <c:yMode val="edge"/>
                  <c:x val="0.43000052490298452"/>
                  <c:y val="0.177049180327868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C86-43F8-B90D-3C986D815FC6}"/>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('2022 Joint Table A1 Pies '!$B$30:$B$31,'2022 Joint Table A1 Pies '!$B$34)</c:f>
              <c:strCache>
                <c:ptCount val="3"/>
                <c:pt idx="0">
                  <c:v>Res. Income-Eligible</c:v>
                </c:pt>
                <c:pt idx="1">
                  <c:v>Res. Non Income-Eligible</c:v>
                </c:pt>
                <c:pt idx="2">
                  <c:v>C&amp;I </c:v>
                </c:pt>
              </c:strCache>
            </c:strRef>
          </c:cat>
          <c:val>
            <c:numRef>
              <c:f>('2022 Joint Table A1 Pies '!$F$30:$F$31,'2022 Joint Table A1 Pies '!$F$34)</c:f>
              <c:numCache>
                <c:formatCode>0%</c:formatCode>
                <c:ptCount val="3"/>
                <c:pt idx="0">
                  <c:v>0.13680607532771721</c:v>
                </c:pt>
                <c:pt idx="1">
                  <c:v>0.33383544567037876</c:v>
                </c:pt>
                <c:pt idx="2">
                  <c:v>0.52935847900190414</c:v>
                </c:pt>
              </c:numCache>
            </c:numRef>
          </c:val>
          <c:extLst>
            <c:ext xmlns:c16="http://schemas.microsoft.com/office/drawing/2014/chart" uri="{C3380CC4-5D6E-409C-BE32-E72D297353CC}">
              <c16:uniqueId val="{00000007-DC86-43F8-B90D-3C986D815FC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panose="020F0502020204030204" pitchFamily="34" charset="0"/>
                <a:ea typeface="Arial"/>
                <a:cs typeface="Calibri" panose="020F0502020204030204" pitchFamily="34" charset="0"/>
              </a:defRPr>
            </a:pPr>
            <a:r>
              <a:rPr lang="en-US" sz="1800">
                <a:latin typeface="Calibri" panose="020F0502020204030204" pitchFamily="34" charset="0"/>
                <a:cs typeface="Calibri" panose="020F0502020204030204" pitchFamily="34" charset="0"/>
              </a:rPr>
              <a:t>EE Revenue By Customer Class</a:t>
            </a:r>
          </a:p>
        </c:rich>
      </c:tx>
      <c:layout>
        <c:manualLayout>
          <c:xMode val="edge"/>
          <c:yMode val="edge"/>
          <c:x val="0.26113506118351665"/>
          <c:y val="5.1573468570665958E-3"/>
        </c:manualLayout>
      </c:layout>
      <c:overlay val="0"/>
      <c:spPr>
        <a:noFill/>
        <a:ln w="25400">
          <a:noFill/>
        </a:ln>
      </c:spPr>
    </c:title>
    <c:autoTitleDeleted val="0"/>
    <c:plotArea>
      <c:layout>
        <c:manualLayout>
          <c:layoutTarget val="inner"/>
          <c:xMode val="edge"/>
          <c:yMode val="edge"/>
          <c:x val="0.23435568095475465"/>
          <c:y val="0.10619371935421254"/>
          <c:w val="0.53756384631392495"/>
          <c:h val="0.89380628064578749"/>
        </c:manualLayout>
      </c:layout>
      <c:pieChart>
        <c:varyColors val="1"/>
        <c:ser>
          <c:idx val="0"/>
          <c:order val="0"/>
          <c:spPr>
            <a:solidFill>
              <a:schemeClr val="accent6">
                <a:lumMod val="75000"/>
              </a:schemeClr>
            </a:solidFill>
            <a:ln w="12700">
              <a:solidFill>
                <a:srgbClr val="000000"/>
              </a:solidFill>
              <a:prstDash val="solid"/>
            </a:ln>
          </c:spPr>
          <c:dPt>
            <c:idx val="0"/>
            <c:bubble3D val="0"/>
            <c:explosion val="6"/>
            <c:spPr>
              <a:solidFill>
                <a:schemeClr val="accent1"/>
              </a:solidFill>
              <a:ln w="12700">
                <a:solidFill>
                  <a:srgbClr val="000000"/>
                </a:solidFill>
                <a:prstDash val="solid"/>
              </a:ln>
            </c:spPr>
            <c:extLst>
              <c:ext xmlns:c16="http://schemas.microsoft.com/office/drawing/2014/chart" uri="{C3380CC4-5D6E-409C-BE32-E72D297353CC}">
                <c16:uniqueId val="{00000001-40F3-4101-8929-7DCF186C0195}"/>
              </c:ext>
            </c:extLst>
          </c:dPt>
          <c:dPt>
            <c:idx val="1"/>
            <c:bubble3D val="0"/>
            <c:explosion val="3"/>
            <c:spPr>
              <a:solidFill>
                <a:schemeClr val="tx2"/>
              </a:solidFill>
              <a:ln w="12700">
                <a:solidFill>
                  <a:srgbClr val="000000"/>
                </a:solidFill>
                <a:prstDash val="solid"/>
              </a:ln>
            </c:spPr>
            <c:extLst>
              <c:ext xmlns:c16="http://schemas.microsoft.com/office/drawing/2014/chart" uri="{C3380CC4-5D6E-409C-BE32-E72D297353CC}">
                <c16:uniqueId val="{00000003-40F3-4101-8929-7DCF186C0195}"/>
              </c:ext>
            </c:extLst>
          </c:dPt>
          <c:dPt>
            <c:idx val="2"/>
            <c:bubble3D val="0"/>
            <c:extLst>
              <c:ext xmlns:c16="http://schemas.microsoft.com/office/drawing/2014/chart" uri="{C3380CC4-5D6E-409C-BE32-E72D297353CC}">
                <c16:uniqueId val="{00000004-40F3-4101-8929-7DCF186C0195}"/>
              </c:ext>
            </c:extLst>
          </c:dPt>
          <c:dPt>
            <c:idx val="3"/>
            <c:bubble3D val="0"/>
            <c:extLst>
              <c:ext xmlns:c16="http://schemas.microsoft.com/office/drawing/2014/chart" uri="{C3380CC4-5D6E-409C-BE32-E72D297353CC}">
                <c16:uniqueId val="{00000005-40F3-4101-8929-7DCF186C0195}"/>
              </c:ext>
            </c:extLst>
          </c:dPt>
          <c:dLbls>
            <c:dLbl>
              <c:idx val="0"/>
              <c:layout>
                <c:manualLayout>
                  <c:x val="0.11461313973730691"/>
                  <c:y val="0.15302282129987987"/>
                </c:manualLayout>
              </c:layout>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0F3-4101-8929-7DCF186C0195}"/>
                </c:ext>
              </c:extLst>
            </c:dLbl>
            <c:dLbl>
              <c:idx val="1"/>
              <c:layout>
                <c:manualLayout>
                  <c:x val="1.6659017099302377E-2"/>
                  <c:y val="-8.8253963456103562E-2"/>
                </c:manualLayout>
              </c:layout>
              <c:tx>
                <c:rich>
                  <a:bodyPr/>
                  <a:lstStyle/>
                  <a:p>
                    <a:pPr>
                      <a:defRPr sz="1200" b="1" i="0" u="none" strike="noStrike" baseline="0">
                        <a:solidFill>
                          <a:srgbClr val="000000"/>
                        </a:solidFill>
                        <a:latin typeface="Arial"/>
                        <a:ea typeface="Arial"/>
                        <a:cs typeface="Arial"/>
                      </a:defRPr>
                    </a:pPr>
                    <a:fld id="{1B77EB68-F3DA-4A50-9E1C-B48ECE37C425}" type="CATEGORYNAME">
                      <a:rPr lang="en-US" sz="1200"/>
                      <a:pPr>
                        <a:defRPr sz="1200" b="1" i="0" u="none" strike="noStrike" baseline="0">
                          <a:solidFill>
                            <a:srgbClr val="000000"/>
                          </a:solidFill>
                          <a:latin typeface="Arial"/>
                          <a:ea typeface="Arial"/>
                          <a:cs typeface="Arial"/>
                        </a:defRPr>
                      </a:pPr>
                      <a:t>[CATEGORY NAME]</a:t>
                    </a:fld>
                    <a:r>
                      <a:rPr lang="en-US" sz="1200" baseline="0"/>
                      <a:t>
34%</a:t>
                    </a:r>
                  </a:p>
                </c:rich>
              </c:tx>
              <c:numFmt formatCode="0%" sourceLinked="0"/>
              <c:spPr>
                <a:noFill/>
                <a:ln w="25400">
                  <a:noFill/>
                </a:ln>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0F3-4101-8929-7DCF186C0195}"/>
                </c:ext>
              </c:extLst>
            </c:dLbl>
            <c:dLbl>
              <c:idx val="2"/>
              <c:delete val="1"/>
              <c:extLst>
                <c:ext xmlns:c15="http://schemas.microsoft.com/office/drawing/2012/chart" uri="{CE6537A1-D6FC-4f65-9D91-7224C49458BB}"/>
                <c:ext xmlns:c16="http://schemas.microsoft.com/office/drawing/2014/chart" uri="{C3380CC4-5D6E-409C-BE32-E72D297353CC}">
                  <c16:uniqueId val="{00000004-40F3-4101-8929-7DCF186C0195}"/>
                </c:ext>
              </c:extLst>
            </c:dLbl>
            <c:dLbl>
              <c:idx val="3"/>
              <c:layout>
                <c:manualLayout>
                  <c:x val="-2.3278137353249691E-2"/>
                  <c:y val="-9.7415025616999482E-2"/>
                </c:manualLayout>
              </c:layout>
              <c:tx>
                <c:rich>
                  <a:bodyPr/>
                  <a:lstStyle/>
                  <a:p>
                    <a:pPr>
                      <a:defRPr sz="1200" b="1" i="0" u="none" strike="noStrike" baseline="0">
                        <a:solidFill>
                          <a:srgbClr val="000000"/>
                        </a:solidFill>
                        <a:latin typeface="Arial"/>
                        <a:ea typeface="Arial"/>
                        <a:cs typeface="Arial"/>
                      </a:defRPr>
                    </a:pPr>
                    <a:fld id="{53799D81-9FB8-4A82-8E77-7651814228C6}" type="CATEGORYNAME">
                      <a:rPr lang="en-US" sz="1200"/>
                      <a:pPr>
                        <a:defRPr sz="1200" b="1" i="0" u="none" strike="noStrike" baseline="0">
                          <a:solidFill>
                            <a:srgbClr val="000000"/>
                          </a:solidFill>
                          <a:latin typeface="Arial"/>
                          <a:ea typeface="Arial"/>
                          <a:cs typeface="Arial"/>
                        </a:defRPr>
                      </a:pPr>
                      <a:t>[CATEGORY NAME]</a:t>
                    </a:fld>
                    <a:r>
                      <a:rPr lang="en-US" sz="1200" baseline="0"/>
                      <a:t>
53%</a:t>
                    </a:r>
                  </a:p>
                </c:rich>
              </c:tx>
              <c:numFmt formatCode="0%" sourceLinked="0"/>
              <c:spPr>
                <a:noFill/>
                <a:ln w="25400">
                  <a:noFill/>
                </a:ln>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40F3-4101-8929-7DCF186C0195}"/>
                </c:ext>
              </c:extLst>
            </c:dLbl>
            <c:dLbl>
              <c:idx val="5"/>
              <c:layout>
                <c:manualLayout>
                  <c:xMode val="edge"/>
                  <c:yMode val="edge"/>
                  <c:x val="0.32751091703056767"/>
                  <c:y val="9.50819672131147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0F3-4101-8929-7DCF186C0195}"/>
                </c:ext>
              </c:extLst>
            </c:dLbl>
            <c:dLbl>
              <c:idx val="6"/>
              <c:layout>
                <c:manualLayout>
                  <c:xMode val="edge"/>
                  <c:yMode val="edge"/>
                  <c:x val="0.45196506550218341"/>
                  <c:y val="0.15409836065573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0F3-4101-8929-7DCF186C0195}"/>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('[17]2022 Joint Table A1 Pies - Elec'!$B$30:$B$31,'[17]2022 Joint Table A1 Pies - Elec'!$B$33:$B$34)</c:f>
              <c:strCache>
                <c:ptCount val="4"/>
                <c:pt idx="0">
                  <c:v>Res. Income-Eligible</c:v>
                </c:pt>
                <c:pt idx="1">
                  <c:v>Res. Non Income-Eligible</c:v>
                </c:pt>
                <c:pt idx="3">
                  <c:v>C&amp;I </c:v>
                </c:pt>
              </c:strCache>
            </c:strRef>
          </c:cat>
          <c:val>
            <c:numRef>
              <c:f>('[17]2022 Joint Table A1 Pies - Elec'!$G$30:$G$31,'[17]2022 Joint Table A1 Pies - Elec'!$G$33:$G$34)</c:f>
              <c:numCache>
                <c:formatCode>General</c:formatCode>
                <c:ptCount val="4"/>
                <c:pt idx="0">
                  <c:v>0.12614</c:v>
                </c:pt>
                <c:pt idx="1">
                  <c:v>0.34</c:v>
                </c:pt>
                <c:pt idx="3">
                  <c:v>0.53386</c:v>
                </c:pt>
              </c:numCache>
            </c:numRef>
          </c:val>
          <c:extLst>
            <c:ext xmlns:c16="http://schemas.microsoft.com/office/drawing/2014/chart" uri="{C3380CC4-5D6E-409C-BE32-E72D297353CC}">
              <c16:uniqueId val="{00000008-40F3-4101-8929-7DCF186C019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panose="020F0502020204030204" pitchFamily="34" charset="0"/>
                <a:ea typeface="Arial"/>
                <a:cs typeface="Calibri" panose="020F0502020204030204" pitchFamily="34" charset="0"/>
              </a:defRPr>
            </a:pPr>
            <a:r>
              <a:rPr lang="en-US" sz="1800" baseline="0">
                <a:latin typeface="Calibri" panose="020F0502020204030204" pitchFamily="34" charset="0"/>
                <a:cs typeface="Calibri" panose="020F0502020204030204" pitchFamily="34" charset="0"/>
              </a:rPr>
              <a:t>EE Budget By Customer Class</a:t>
            </a:r>
          </a:p>
        </c:rich>
      </c:tx>
      <c:layout>
        <c:manualLayout>
          <c:xMode val="edge"/>
          <c:yMode val="edge"/>
          <c:x val="0.23750018819349303"/>
          <c:y val="1.3445345721982679E-2"/>
        </c:manualLayout>
      </c:layout>
      <c:overlay val="0"/>
      <c:spPr>
        <a:noFill/>
        <a:ln w="25400">
          <a:noFill/>
        </a:ln>
      </c:spPr>
    </c:title>
    <c:autoTitleDeleted val="0"/>
    <c:plotArea>
      <c:layout>
        <c:manualLayout>
          <c:layoutTarget val="inner"/>
          <c:xMode val="edge"/>
          <c:yMode val="edge"/>
          <c:x val="0.1684224682310751"/>
          <c:y val="0.1470589878322483"/>
          <c:w val="0.62492691198253691"/>
          <c:h val="0.85294101216775164"/>
        </c:manualLayout>
      </c:layout>
      <c:pieChart>
        <c:varyColors val="1"/>
        <c:ser>
          <c:idx val="0"/>
          <c:order val="0"/>
          <c:spPr>
            <a:solidFill>
              <a:srgbClr val="9999FF"/>
            </a:solidFill>
            <a:ln w="12700">
              <a:solidFill>
                <a:srgbClr val="000000"/>
              </a:solidFill>
              <a:prstDash val="solid"/>
            </a:ln>
          </c:spPr>
          <c:explosion val="5"/>
          <c:dPt>
            <c:idx val="0"/>
            <c:bubble3D val="0"/>
            <c:spPr>
              <a:solidFill>
                <a:schemeClr val="accent1"/>
              </a:solidFill>
              <a:ln w="12700">
                <a:solidFill>
                  <a:srgbClr val="000000"/>
                </a:solidFill>
                <a:prstDash val="solid"/>
              </a:ln>
            </c:spPr>
            <c:extLst>
              <c:ext xmlns:c16="http://schemas.microsoft.com/office/drawing/2014/chart" uri="{C3380CC4-5D6E-409C-BE32-E72D297353CC}">
                <c16:uniqueId val="{00000001-D5DA-4136-A022-3DA27FDE187F}"/>
              </c:ext>
            </c:extLst>
          </c:dPt>
          <c:dPt>
            <c:idx val="1"/>
            <c:bubble3D val="0"/>
            <c:spPr>
              <a:solidFill>
                <a:schemeClr val="tx2"/>
              </a:solidFill>
              <a:ln w="12700">
                <a:solidFill>
                  <a:srgbClr val="000000"/>
                </a:solidFill>
                <a:prstDash val="solid"/>
              </a:ln>
            </c:spPr>
            <c:extLst>
              <c:ext xmlns:c16="http://schemas.microsoft.com/office/drawing/2014/chart" uri="{C3380CC4-5D6E-409C-BE32-E72D297353CC}">
                <c16:uniqueId val="{00000003-D5DA-4136-A022-3DA27FDE187F}"/>
              </c:ext>
            </c:extLst>
          </c:dPt>
          <c:dPt>
            <c:idx val="2"/>
            <c:bubble3D val="0"/>
            <c:spPr>
              <a:solidFill>
                <a:schemeClr val="accent6">
                  <a:lumMod val="50000"/>
                </a:schemeClr>
              </a:solidFill>
              <a:ln w="12700">
                <a:solidFill>
                  <a:srgbClr val="000000"/>
                </a:solidFill>
                <a:prstDash val="solid"/>
              </a:ln>
            </c:spPr>
            <c:extLst>
              <c:ext xmlns:c16="http://schemas.microsoft.com/office/drawing/2014/chart" uri="{C3380CC4-5D6E-409C-BE32-E72D297353CC}">
                <c16:uniqueId val="{00000005-D5DA-4136-A022-3DA27FDE187F}"/>
              </c:ext>
            </c:extLst>
          </c:dPt>
          <c:dLbls>
            <c:dLbl>
              <c:idx val="0"/>
              <c:layout>
                <c:manualLayout>
                  <c:x val="0.10129025458815737"/>
                  <c:y val="0.13258951961824753"/>
                </c:manualLayout>
              </c:layout>
              <c:tx>
                <c:rich>
                  <a:bodyPr/>
                  <a:lstStyle/>
                  <a:p>
                    <a:fld id="{8822EB7E-C648-4171-B0D3-7C983AD4ABCE}"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5DA-4136-A022-3DA27FDE187F}"/>
                </c:ext>
              </c:extLst>
            </c:dLbl>
            <c:dLbl>
              <c:idx val="1"/>
              <c:layout>
                <c:manualLayout>
                  <c:x val="2.6883867050079543E-2"/>
                  <c:y val="-7.9395311212865666E-2"/>
                </c:manualLayout>
              </c:layout>
              <c:tx>
                <c:rich>
                  <a:bodyPr/>
                  <a:lstStyle/>
                  <a:p>
                    <a:fld id="{1718E016-86BA-43BC-BD8A-9F47BC524436}" type="CATEGORYNAME">
                      <a:rPr lang="en-US"/>
                      <a:pPr/>
                      <a:t>[CATEGORY NAME]</a:t>
                    </a:fld>
                    <a:r>
                      <a:rPr lang="en-US" baseline="0"/>
                      <a:t>
33%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5DA-4136-A022-3DA27FDE187F}"/>
                </c:ext>
              </c:extLst>
            </c:dLbl>
            <c:dLbl>
              <c:idx val="2"/>
              <c:layout>
                <c:manualLayout>
                  <c:x val="-3.2106512498557192E-2"/>
                  <c:y val="-5.0741018352913309E-2"/>
                </c:manualLayout>
              </c:layout>
              <c:tx>
                <c:rich>
                  <a:bodyPr/>
                  <a:lstStyle/>
                  <a:p>
                    <a:r>
                      <a:rPr lang="en-US"/>
                      <a:t>C&amp;I</a:t>
                    </a:r>
                    <a:r>
                      <a:rPr lang="en-US" baseline="0"/>
                      <a:t>
53%</a:t>
                    </a:r>
                    <a:endParaRPr lang="en-US"/>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D5DA-4136-A022-3DA27FDE187F}"/>
                </c:ext>
              </c:extLst>
            </c:dLbl>
            <c:dLbl>
              <c:idx val="3"/>
              <c:layout>
                <c:manualLayout>
                  <c:xMode val="edge"/>
                  <c:yMode val="edge"/>
                  <c:x val="0.20000024414092302"/>
                  <c:y val="0.5540983606557377"/>
                </c:manualLayout>
              </c:layout>
              <c:tx>
                <c:rich>
                  <a:bodyPr/>
                  <a:lstStyle/>
                  <a:p>
                    <a:r>
                      <a:t>C&amp;I
59.0%</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5DA-4136-A022-3DA27FDE187F}"/>
                </c:ext>
              </c:extLst>
            </c:dLbl>
            <c:dLbl>
              <c:idx val="5"/>
              <c:layout>
                <c:manualLayout>
                  <c:xMode val="edge"/>
                  <c:yMode val="edge"/>
                  <c:x val="0.43000052490298452"/>
                  <c:y val="0.177049180327868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5DA-4136-A022-3DA27FDE187F}"/>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('[17]2022 Joint Table A1 Pies - Elec'!$B$30:$B$31,'[17]2022 Joint Table A1 Pies - Elec'!$B$34)</c:f>
              <c:strCache>
                <c:ptCount val="3"/>
                <c:pt idx="0">
                  <c:v>Res. Income-Eligible</c:v>
                </c:pt>
                <c:pt idx="1">
                  <c:v>Res. Non Income-Eligible</c:v>
                </c:pt>
                <c:pt idx="2">
                  <c:v>C&amp;I </c:v>
                </c:pt>
              </c:strCache>
            </c:strRef>
          </c:cat>
          <c:val>
            <c:numRef>
              <c:f>('[17]2022 Joint Table A1 Pies - Elec'!$F$30:$F$31,'[17]2022 Joint Table A1 Pies - Elec'!$F$34)</c:f>
              <c:numCache>
                <c:formatCode>General</c:formatCode>
                <c:ptCount val="3"/>
                <c:pt idx="0">
                  <c:v>0.13680607532771721</c:v>
                </c:pt>
                <c:pt idx="1">
                  <c:v>0.33383544567037876</c:v>
                </c:pt>
                <c:pt idx="2">
                  <c:v>0.52935847900190414</c:v>
                </c:pt>
              </c:numCache>
            </c:numRef>
          </c:val>
          <c:extLst>
            <c:ext xmlns:c16="http://schemas.microsoft.com/office/drawing/2014/chart" uri="{C3380CC4-5D6E-409C-BE32-E72D297353CC}">
              <c16:uniqueId val="{00000008-D5DA-4136-A022-3DA27FDE187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panose="020F0502020204030204" pitchFamily="34" charset="0"/>
                <a:ea typeface="Arial"/>
                <a:cs typeface="Calibri" panose="020F0502020204030204" pitchFamily="34" charset="0"/>
              </a:defRPr>
            </a:pPr>
            <a:r>
              <a:rPr lang="en-US" sz="2000" baseline="0">
                <a:latin typeface="Calibri" panose="020F0502020204030204" pitchFamily="34" charset="0"/>
                <a:cs typeface="Calibri" panose="020F0502020204030204" pitchFamily="34" charset="0"/>
              </a:rPr>
              <a:t>EE Budget By Customer Class</a:t>
            </a:r>
          </a:p>
        </c:rich>
      </c:tx>
      <c:layout>
        <c:manualLayout>
          <c:xMode val="edge"/>
          <c:yMode val="edge"/>
          <c:x val="0.2959418140914204"/>
          <c:y val="7.0723615037734527E-3"/>
        </c:manualLayout>
      </c:layout>
      <c:overlay val="0"/>
      <c:spPr>
        <a:noFill/>
        <a:ln w="25400">
          <a:noFill/>
        </a:ln>
      </c:spPr>
    </c:title>
    <c:autoTitleDeleted val="0"/>
    <c:plotArea>
      <c:layout>
        <c:manualLayout>
          <c:layoutTarget val="inner"/>
          <c:xMode val="edge"/>
          <c:yMode val="edge"/>
          <c:x val="0.197071616047994"/>
          <c:y val="9.9915652234865288E-2"/>
          <c:w val="0.70441797048096266"/>
          <c:h val="0.86744339821023853"/>
        </c:manualLayout>
      </c:layout>
      <c:pieChart>
        <c:varyColors val="1"/>
        <c:ser>
          <c:idx val="0"/>
          <c:order val="0"/>
          <c:spPr>
            <a:solidFill>
              <a:srgbClr val="9999FF"/>
            </a:solidFill>
            <a:ln w="12700">
              <a:solidFill>
                <a:srgbClr val="000000"/>
              </a:solidFill>
              <a:prstDash val="solid"/>
            </a:ln>
          </c:spPr>
          <c:explosion val="5"/>
          <c:dPt>
            <c:idx val="0"/>
            <c:bubble3D val="0"/>
            <c:spPr>
              <a:solidFill>
                <a:schemeClr val="accent1"/>
              </a:solidFill>
              <a:ln w="12700">
                <a:solidFill>
                  <a:srgbClr val="000000"/>
                </a:solidFill>
                <a:prstDash val="solid"/>
              </a:ln>
            </c:spPr>
            <c:extLst>
              <c:ext xmlns:c16="http://schemas.microsoft.com/office/drawing/2014/chart" uri="{C3380CC4-5D6E-409C-BE32-E72D297353CC}">
                <c16:uniqueId val="{00000001-EBE7-4D18-9670-301D81CB148E}"/>
              </c:ext>
            </c:extLst>
          </c:dPt>
          <c:dPt>
            <c:idx val="1"/>
            <c:bubble3D val="0"/>
            <c:spPr>
              <a:solidFill>
                <a:schemeClr val="tx2"/>
              </a:solidFill>
              <a:ln w="12700">
                <a:solidFill>
                  <a:srgbClr val="000000"/>
                </a:solidFill>
                <a:prstDash val="solid"/>
              </a:ln>
            </c:spPr>
            <c:extLst>
              <c:ext xmlns:c16="http://schemas.microsoft.com/office/drawing/2014/chart" uri="{C3380CC4-5D6E-409C-BE32-E72D297353CC}">
                <c16:uniqueId val="{00000003-EBE7-4D18-9670-301D81CB148E}"/>
              </c:ext>
            </c:extLst>
          </c:dPt>
          <c:dPt>
            <c:idx val="2"/>
            <c:bubble3D val="0"/>
            <c:spPr>
              <a:solidFill>
                <a:schemeClr val="accent6">
                  <a:lumMod val="50000"/>
                </a:schemeClr>
              </a:solidFill>
              <a:ln w="12700">
                <a:solidFill>
                  <a:srgbClr val="000000"/>
                </a:solidFill>
                <a:prstDash val="solid"/>
              </a:ln>
            </c:spPr>
            <c:extLst>
              <c:ext xmlns:c16="http://schemas.microsoft.com/office/drawing/2014/chart" uri="{C3380CC4-5D6E-409C-BE32-E72D297353CC}">
                <c16:uniqueId val="{00000005-EBE7-4D18-9670-301D81CB148E}"/>
              </c:ext>
            </c:extLst>
          </c:dPt>
          <c:dPt>
            <c:idx val="3"/>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EBE7-4D18-9670-301D81CB148E}"/>
              </c:ext>
            </c:extLst>
          </c:dPt>
          <c:dPt>
            <c:idx val="4"/>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9-EBE7-4D18-9670-301D81CB148E}"/>
              </c:ext>
            </c:extLst>
          </c:dPt>
          <c:dPt>
            <c:idx val="5"/>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B-EBE7-4D18-9670-301D81CB148E}"/>
              </c:ext>
            </c:extLst>
          </c:dPt>
          <c:dLbls>
            <c:dLbl>
              <c:idx val="0"/>
              <c:layout>
                <c:manualLayout>
                  <c:x val="-0.14389388826396701"/>
                  <c:y val="0.1616809116809116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E7-4D18-9670-301D81CB148E}"/>
                </c:ext>
              </c:extLst>
            </c:dLbl>
            <c:dLbl>
              <c:idx val="1"/>
              <c:layout>
                <c:manualLayout>
                  <c:x val="-0.18010277124450352"/>
                  <c:y val="-0.1410202570832492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E7-4D18-9670-301D81CB148E}"/>
                </c:ext>
              </c:extLst>
            </c:dLbl>
            <c:dLbl>
              <c:idx val="2"/>
              <c:layout>
                <c:manualLayout>
                  <c:x val="7.1759041483450928E-2"/>
                  <c:y val="-0.14035608308605341"/>
                </c:manualLayout>
              </c:layout>
              <c:tx>
                <c:rich>
                  <a:bodyPr/>
                  <a:lstStyle/>
                  <a:p>
                    <a:fld id="{208DBC41-95AD-45F8-958B-8B36D552A713}" type="CATEGORYNAME">
                      <a:rPr lang="en-US"/>
                      <a:pPr/>
                      <a:t>[CATEGORY NAME]</a:t>
                    </a:fld>
                    <a:r>
                      <a:rPr lang="en-US" baseline="0"/>
                      <a:t>,</a:t>
                    </a:r>
                  </a:p>
                  <a:p>
                    <a:r>
                      <a:rPr lang="en-US" baseline="0"/>
                      <a:t> </a:t>
                    </a:r>
                    <a:fld id="{4C687E3F-7E4A-4F43-968A-5B940E222D51}"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BE7-4D18-9670-301D81CB148E}"/>
                </c:ext>
              </c:extLst>
            </c:dLbl>
            <c:dLbl>
              <c:idx val="3"/>
              <c:layout>
                <c:manualLayout>
                  <c:x val="0.14366209905579985"/>
                  <c:y val="-0.11462207060912638"/>
                </c:manualLayout>
              </c:layout>
              <c:tx>
                <c:rich>
                  <a:bodyPr/>
                  <a:lstStyle/>
                  <a:p>
                    <a:fld id="{FA79724E-CE43-4430-9E20-F90734331D96}" type="CATEGORYNAME">
                      <a:rPr lang="en-US"/>
                      <a:pPr/>
                      <a:t>[CATEGORY NAME]</a:t>
                    </a:fld>
                    <a:r>
                      <a:rPr lang="en-US" baseline="0"/>
                      <a:t>, </a:t>
                    </a:r>
                  </a:p>
                  <a:p>
                    <a:fld id="{44CAB557-8C86-4A1D-8576-7EE1274149F5}"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BE7-4D18-9670-301D81CB148E}"/>
                </c:ext>
              </c:extLst>
            </c:dLbl>
            <c:dLbl>
              <c:idx val="4"/>
              <c:layout>
                <c:manualLayout>
                  <c:x val="0.16647279885468863"/>
                  <c:y val="6.4480478515853173E-2"/>
                </c:manualLayout>
              </c:layout>
              <c:tx>
                <c:rich>
                  <a:bodyPr/>
                  <a:lstStyle/>
                  <a:p>
                    <a:fld id="{3180A016-BDF1-4A7A-941C-112133FF266C}" type="CATEGORYNAME">
                      <a:rPr lang="en-US">
                        <a:solidFill>
                          <a:sysClr val="windowText" lastClr="000000"/>
                        </a:solidFill>
                      </a:rPr>
                      <a:pPr/>
                      <a:t>[CATEGORY NAME]</a:t>
                    </a:fld>
                    <a:r>
                      <a:rPr lang="en-US" baseline="0">
                        <a:solidFill>
                          <a:sysClr val="windowText" lastClr="000000"/>
                        </a:solidFill>
                      </a:rPr>
                      <a:t>,</a:t>
                    </a:r>
                  </a:p>
                  <a:p>
                    <a:r>
                      <a:rPr lang="en-US" baseline="0">
                        <a:solidFill>
                          <a:sysClr val="windowText" lastClr="000000"/>
                        </a:solidFill>
                      </a:rPr>
                      <a:t> </a:t>
                    </a:r>
                    <a:fld id="{BD1097A7-ACE4-4F0A-BA67-4D59DCC5192C}" type="VALUE">
                      <a:rPr lang="en-US" baseline="0">
                        <a:solidFill>
                          <a:sysClr val="windowText" lastClr="000000"/>
                        </a:solidFill>
                      </a:rPr>
                      <a:pPr/>
                      <a:t>[VALUE]</a:t>
                    </a:fld>
                    <a:endParaRPr lang="en-US" baseline="0">
                      <a:solidFill>
                        <a:sysClr val="windowText" lastClr="000000"/>
                      </a:solidFill>
                    </a:endParaRPr>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EBE7-4D18-9670-301D81CB148E}"/>
                </c:ext>
              </c:extLst>
            </c:dLbl>
            <c:dLbl>
              <c:idx val="5"/>
              <c:tx>
                <c:rich>
                  <a:bodyPr/>
                  <a:lstStyle/>
                  <a:p>
                    <a:fld id="{547C5DE0-E0B8-4E90-B65A-2A4A93B9E2CB}" type="CATEGORYNAME">
                      <a:rPr lang="en-US">
                        <a:solidFill>
                          <a:sysClr val="windowText" lastClr="000000"/>
                        </a:solidFill>
                      </a:rPr>
                      <a:pPr/>
                      <a:t>[CATEGORY NAME]</a:t>
                    </a:fld>
                    <a:r>
                      <a:rPr lang="en-US" baseline="0">
                        <a:solidFill>
                          <a:sysClr val="windowText" lastClr="000000"/>
                        </a:solidFill>
                      </a:rPr>
                      <a:t>,</a:t>
                    </a:r>
                  </a:p>
                  <a:p>
                    <a:r>
                      <a:rPr lang="en-US" baseline="0">
                        <a:solidFill>
                          <a:sysClr val="windowText" lastClr="000000"/>
                        </a:solidFill>
                      </a:rPr>
                      <a:t> </a:t>
                    </a:r>
                    <a:fld id="{982BB2F2-E2ED-45AE-B486-D672057F5283}" type="VALUE">
                      <a:rPr lang="en-US" baseline="0">
                        <a:solidFill>
                          <a:sysClr val="windowText" lastClr="000000"/>
                        </a:solidFill>
                      </a:rPr>
                      <a:pPr/>
                      <a:t>[VALUE]</a:t>
                    </a:fld>
                    <a:endParaRPr lang="en-US" baseline="0">
                      <a:solidFill>
                        <a:sysClr val="windowText" lastClr="000000"/>
                      </a:solidFill>
                    </a:endParaRPr>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BE7-4D18-9670-301D81CB148E}"/>
                </c:ext>
              </c:extLst>
            </c:dLbl>
            <c:spPr>
              <a:noFill/>
              <a:ln>
                <a:noFill/>
              </a:ln>
              <a:effectLst/>
            </c:spPr>
            <c:txPr>
              <a:bodyPr wrap="square" lIns="38100" tIns="19050" rIns="38100" bIns="19050" anchor="ctr">
                <a:spAutoFit/>
              </a:bodyPr>
              <a:lstStyle/>
              <a:p>
                <a:pPr>
                  <a:defRPr sz="1400" b="1">
                    <a:solidFill>
                      <a:schemeClr val="bg1"/>
                    </a:solidFill>
                  </a:defRPr>
                </a:pPr>
                <a:endParaRPr lang="en-US"/>
              </a:p>
            </c:tx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('[17]2022 Joint Table A1 Pies - Elec'!$B$30:$B$31,'[17]2022 Joint Table A1 Pies - Elec'!$B$35:$B$38)</c:f>
              <c:strCache>
                <c:ptCount val="6"/>
                <c:pt idx="0">
                  <c:v>Res. Income-Eligible</c:v>
                </c:pt>
                <c:pt idx="1">
                  <c:v>Res. Non Income-Eligible</c:v>
                </c:pt>
                <c:pt idx="2">
                  <c:v>C&amp;I Q1</c:v>
                </c:pt>
                <c:pt idx="3">
                  <c:v>C&amp;I Q2</c:v>
                </c:pt>
                <c:pt idx="4">
                  <c:v>C&amp;I Q3</c:v>
                </c:pt>
                <c:pt idx="5">
                  <c:v>C&amp;I Q4</c:v>
                </c:pt>
              </c:strCache>
            </c:strRef>
          </c:cat>
          <c:val>
            <c:numRef>
              <c:f>('[17]2022 Joint Table A1 Pies - Elec'!$F$30:$F$31,'[17]2022 Joint Table A1 Pies - Elec'!$F$35:$F$38)</c:f>
              <c:numCache>
                <c:formatCode>General</c:formatCode>
                <c:ptCount val="6"/>
                <c:pt idx="0">
                  <c:v>0.13680607532771721</c:v>
                </c:pt>
                <c:pt idx="1">
                  <c:v>0.33383544567037876</c:v>
                </c:pt>
                <c:pt idx="2">
                  <c:v>0.13233961975047603</c:v>
                </c:pt>
                <c:pt idx="3">
                  <c:v>0.13233961975047603</c:v>
                </c:pt>
                <c:pt idx="4">
                  <c:v>0.13233961975047603</c:v>
                </c:pt>
                <c:pt idx="5">
                  <c:v>0.13233961975047603</c:v>
                </c:pt>
              </c:numCache>
            </c:numRef>
          </c:val>
          <c:extLst>
            <c:ext xmlns:c16="http://schemas.microsoft.com/office/drawing/2014/chart" uri="{C3380CC4-5D6E-409C-BE32-E72D297353CC}">
              <c16:uniqueId val="{0000000C-EBE7-4D18-9670-301D81CB148E}"/>
            </c:ext>
          </c:extLst>
        </c:ser>
        <c:dLbls>
          <c:dLblPos val="bestFit"/>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panose="020F0502020204030204" pitchFamily="34" charset="0"/>
                <a:ea typeface="Arial"/>
                <a:cs typeface="Calibri" panose="020F0502020204030204" pitchFamily="34" charset="0"/>
              </a:defRPr>
            </a:pPr>
            <a:r>
              <a:rPr lang="en-US" sz="2000">
                <a:latin typeface="Calibri" panose="020F0502020204030204" pitchFamily="34" charset="0"/>
                <a:cs typeface="Calibri" panose="020F0502020204030204" pitchFamily="34" charset="0"/>
              </a:rPr>
              <a:t>EE Revenue By Customer Class</a:t>
            </a:r>
          </a:p>
        </c:rich>
      </c:tx>
      <c:layout>
        <c:manualLayout>
          <c:xMode val="edge"/>
          <c:yMode val="edge"/>
          <c:x val="0.26113506118351665"/>
          <c:y val="5.1573468570665958E-3"/>
        </c:manualLayout>
      </c:layout>
      <c:overlay val="0"/>
      <c:spPr>
        <a:noFill/>
        <a:ln w="25400">
          <a:noFill/>
        </a:ln>
      </c:spPr>
    </c:title>
    <c:autoTitleDeleted val="0"/>
    <c:plotArea>
      <c:layout>
        <c:manualLayout>
          <c:layoutTarget val="inner"/>
          <c:xMode val="edge"/>
          <c:yMode val="edge"/>
          <c:x val="0.20832531271035454"/>
          <c:y val="0.11845641336253088"/>
          <c:w val="0.63300863118667583"/>
          <c:h val="0.86336369566230242"/>
        </c:manualLayout>
      </c:layout>
      <c:pieChart>
        <c:varyColors val="1"/>
        <c:ser>
          <c:idx val="0"/>
          <c:order val="0"/>
          <c:spPr>
            <a:solidFill>
              <a:schemeClr val="accent6">
                <a:lumMod val="75000"/>
              </a:schemeClr>
            </a:solidFill>
            <a:ln w="12700">
              <a:solidFill>
                <a:srgbClr val="000000"/>
              </a:solidFill>
              <a:prstDash val="solid"/>
            </a:ln>
          </c:spPr>
          <c:explosion val="4"/>
          <c:dPt>
            <c:idx val="0"/>
            <c:bubble3D val="0"/>
            <c:spPr>
              <a:solidFill>
                <a:schemeClr val="accent1"/>
              </a:solidFill>
              <a:ln w="12700">
                <a:solidFill>
                  <a:srgbClr val="000000"/>
                </a:solidFill>
                <a:prstDash val="solid"/>
              </a:ln>
            </c:spPr>
            <c:extLst>
              <c:ext xmlns:c16="http://schemas.microsoft.com/office/drawing/2014/chart" uri="{C3380CC4-5D6E-409C-BE32-E72D297353CC}">
                <c16:uniqueId val="{00000001-5BD8-404D-9157-B53AD3F63239}"/>
              </c:ext>
            </c:extLst>
          </c:dPt>
          <c:dPt>
            <c:idx val="1"/>
            <c:bubble3D val="0"/>
            <c:spPr>
              <a:solidFill>
                <a:schemeClr val="tx2"/>
              </a:solidFill>
              <a:ln w="12700">
                <a:solidFill>
                  <a:srgbClr val="000000"/>
                </a:solidFill>
                <a:prstDash val="solid"/>
              </a:ln>
            </c:spPr>
            <c:extLst>
              <c:ext xmlns:c16="http://schemas.microsoft.com/office/drawing/2014/chart" uri="{C3380CC4-5D6E-409C-BE32-E72D297353CC}">
                <c16:uniqueId val="{00000003-5BD8-404D-9157-B53AD3F63239}"/>
              </c:ext>
            </c:extLst>
          </c:dPt>
          <c:dPt>
            <c:idx val="2"/>
            <c:bubble3D val="0"/>
            <c:spPr>
              <a:solidFill>
                <a:schemeClr val="accent6">
                  <a:lumMod val="50000"/>
                </a:schemeClr>
              </a:solidFill>
              <a:ln w="12700">
                <a:solidFill>
                  <a:srgbClr val="000000"/>
                </a:solidFill>
                <a:prstDash val="solid"/>
              </a:ln>
            </c:spPr>
            <c:extLst>
              <c:ext xmlns:c16="http://schemas.microsoft.com/office/drawing/2014/chart" uri="{C3380CC4-5D6E-409C-BE32-E72D297353CC}">
                <c16:uniqueId val="{00000005-5BD8-404D-9157-B53AD3F63239}"/>
              </c:ext>
            </c:extLst>
          </c:dPt>
          <c:dPt>
            <c:idx val="4"/>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7-5BD8-404D-9157-B53AD3F63239}"/>
              </c:ext>
            </c:extLst>
          </c:dPt>
          <c:dPt>
            <c:idx val="5"/>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9-5BD8-404D-9157-B53AD3F63239}"/>
              </c:ext>
            </c:extLst>
          </c:dPt>
          <c:dLbls>
            <c:dLbl>
              <c:idx val="1"/>
              <c:layout>
                <c:manualLayout>
                  <c:x val="-0.21833709982357768"/>
                  <c:y val="-0.10852563321225714"/>
                </c:manualLayout>
              </c:layout>
              <c:tx>
                <c:rich>
                  <a:bodyPr/>
                  <a:lstStyle/>
                  <a:p>
                    <a:fld id="{1B77EB68-F3DA-4A50-9E1C-B48ECE37C425}" type="CATEGORYNAME">
                      <a:rPr lang="en-US" sz="1400"/>
                      <a:pPr/>
                      <a:t>[CATEGORY NAME]</a:t>
                    </a:fld>
                    <a:r>
                      <a:rPr lang="en-US" sz="1400" baseline="0"/>
                      <a:t>
34%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BD8-404D-9157-B53AD3F63239}"/>
                </c:ext>
              </c:extLst>
            </c:dLbl>
            <c:dLbl>
              <c:idx val="2"/>
              <c:layout>
                <c:manualLayout>
                  <c:x val="6.0899629511269496E-2"/>
                  <c:y val="-0.10866775553984545"/>
                </c:manualLayout>
              </c:layout>
              <c:tx>
                <c:rich>
                  <a:bodyPr/>
                  <a:lstStyle/>
                  <a:p>
                    <a:fld id="{0D0F9B2D-5A5B-4B22-90E9-C86E1C2FF436}" type="CATEGORYNAME">
                      <a:rPr lang="en-US"/>
                      <a:pPr/>
                      <a:t>[CATEGORY NAME]</a:t>
                    </a:fld>
                    <a:r>
                      <a:rPr lang="en-US" baseline="0"/>
                      <a:t>
13%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BD8-404D-9157-B53AD3F63239}"/>
                </c:ext>
              </c:extLst>
            </c:dLbl>
            <c:dLbl>
              <c:idx val="3"/>
              <c:layout>
                <c:manualLayout>
                  <c:x val="0.15997269885266518"/>
                  <c:y val="-0.1326749713561346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BD8-404D-9157-B53AD3F63239}"/>
                </c:ext>
              </c:extLst>
            </c:dLbl>
            <c:dLbl>
              <c:idx val="4"/>
              <c:layout>
                <c:manualLayout>
                  <c:x val="0.16008969888972943"/>
                  <c:y val="6.658662636210716E-2"/>
                </c:manualLayout>
              </c:layout>
              <c:tx>
                <c:rich>
                  <a:bodyPr/>
                  <a:lstStyle/>
                  <a:p>
                    <a:fld id="{DBAB7361-E357-4E5E-8132-EDD7624A5AF7}" type="CATEGORYNAME">
                      <a:rPr lang="en-US">
                        <a:solidFill>
                          <a:sysClr val="windowText" lastClr="000000"/>
                        </a:solidFill>
                      </a:rPr>
                      <a:pPr/>
                      <a:t>[CATEGORY NAME]</a:t>
                    </a:fld>
                    <a:r>
                      <a:rPr lang="en-US" baseline="0">
                        <a:solidFill>
                          <a:sysClr val="windowText" lastClr="000000"/>
                        </a:solidFill>
                      </a:rPr>
                      <a:t>
</a:t>
                    </a:r>
                    <a:fld id="{366D4132-A165-4991-A5B2-9B631E0871EC}" type="PERCENTAGE">
                      <a:rPr lang="en-US" baseline="0">
                        <a:solidFill>
                          <a:sysClr val="windowText" lastClr="000000"/>
                        </a:solidFill>
                      </a:rPr>
                      <a:pPr/>
                      <a:t>[PERCENTAGE]</a:t>
                    </a:fld>
                    <a:endParaRPr lang="en-US"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BD8-404D-9157-B53AD3F63239}"/>
                </c:ext>
              </c:extLst>
            </c:dLbl>
            <c:dLbl>
              <c:idx val="5"/>
              <c:layout>
                <c:manualLayout>
                  <c:x val="9.4733990594563444E-2"/>
                  <c:y val="0.19184637137076133"/>
                </c:manualLayout>
              </c:layout>
              <c:tx>
                <c:rich>
                  <a:bodyPr/>
                  <a:lstStyle/>
                  <a:p>
                    <a:fld id="{F175D009-8949-48E8-A696-FF94F6FAAA2B}" type="CATEGORYNAME">
                      <a:rPr lang="en-US">
                        <a:solidFill>
                          <a:sysClr val="windowText" lastClr="000000"/>
                        </a:solidFill>
                      </a:rPr>
                      <a:pPr/>
                      <a:t>[CATEGORY NAME]</a:t>
                    </a:fld>
                    <a:r>
                      <a:rPr lang="en-US" baseline="0">
                        <a:solidFill>
                          <a:sysClr val="windowText" lastClr="000000"/>
                        </a:solidFill>
                      </a:rPr>
                      <a:t>
</a:t>
                    </a:r>
                    <a:fld id="{231210C6-7135-4E98-8058-53527A7477E0}" type="PERCENTAGE">
                      <a:rPr lang="en-US" baseline="0">
                        <a:solidFill>
                          <a:sysClr val="windowText" lastClr="000000"/>
                        </a:solidFill>
                      </a:rPr>
                      <a:pPr/>
                      <a:t>[PERCENTAGE]</a:t>
                    </a:fld>
                    <a:endParaRPr lang="en-US"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BD8-404D-9157-B53AD3F63239}"/>
                </c:ext>
              </c:extLst>
            </c:dLbl>
            <c:numFmt formatCode="0%" sourceLinked="0"/>
            <c:spPr>
              <a:noFill/>
              <a:ln w="25400">
                <a:noFill/>
              </a:ln>
            </c:spPr>
            <c:txPr>
              <a:bodyPr/>
              <a:lstStyle/>
              <a:p>
                <a:pPr>
                  <a:defRPr sz="1400" b="1" i="0" u="none" strike="noStrike" baseline="0">
                    <a:solidFill>
                      <a:schemeClr val="bg1"/>
                    </a:solidFill>
                    <a:latin typeface="Arial"/>
                    <a:ea typeface="Arial"/>
                    <a:cs typeface="Arial"/>
                  </a:defRPr>
                </a:pPr>
                <a:endParaRPr lang="en-US"/>
              </a:p>
            </c:txPr>
            <c:dLblPos val="inEnd"/>
            <c:showLegendKey val="0"/>
            <c:showVal val="0"/>
            <c:showCatName val="1"/>
            <c:showSerName val="0"/>
            <c:showPercent val="1"/>
            <c:showBubbleSize val="0"/>
            <c:showLeaderLines val="1"/>
            <c:extLst>
              <c:ext xmlns:c15="http://schemas.microsoft.com/office/drawing/2012/chart" uri="{CE6537A1-D6FC-4f65-9D91-7224C49458BB}"/>
            </c:extLst>
          </c:dLbls>
          <c:cat>
            <c:strRef>
              <c:f>('[17]2022 Joint Table A1 Pies - Elec'!$B$30:$B$31,'[17]2022 Joint Table A1 Pies - Elec'!$B$35:$B$38)</c:f>
              <c:strCache>
                <c:ptCount val="6"/>
                <c:pt idx="0">
                  <c:v>Res. Income-Eligible</c:v>
                </c:pt>
                <c:pt idx="1">
                  <c:v>Res. Non Income-Eligible</c:v>
                </c:pt>
                <c:pt idx="2">
                  <c:v>C&amp;I Q1</c:v>
                </c:pt>
                <c:pt idx="3">
                  <c:v>C&amp;I Q2</c:v>
                </c:pt>
                <c:pt idx="4">
                  <c:v>C&amp;I Q3</c:v>
                </c:pt>
                <c:pt idx="5">
                  <c:v>C&amp;I Q4</c:v>
                </c:pt>
              </c:strCache>
            </c:strRef>
          </c:cat>
          <c:val>
            <c:numRef>
              <c:f>('[17]2022 Joint Table A1 Pies - Elec'!$G$30:$G$31,'[17]2022 Joint Table A1 Pies - Elec'!$G$35:$G$38)</c:f>
              <c:numCache>
                <c:formatCode>General</c:formatCode>
                <c:ptCount val="6"/>
                <c:pt idx="0">
                  <c:v>0.12614</c:v>
                </c:pt>
                <c:pt idx="1">
                  <c:v>0.34</c:v>
                </c:pt>
                <c:pt idx="2">
                  <c:v>0.133465</c:v>
                </c:pt>
                <c:pt idx="3">
                  <c:v>0.133465</c:v>
                </c:pt>
                <c:pt idx="4">
                  <c:v>0.133465</c:v>
                </c:pt>
                <c:pt idx="5">
                  <c:v>0.133465</c:v>
                </c:pt>
              </c:numCache>
            </c:numRef>
          </c:val>
          <c:extLst>
            <c:ext xmlns:c16="http://schemas.microsoft.com/office/drawing/2014/chart" uri="{C3380CC4-5D6E-409C-BE32-E72D297353CC}">
              <c16:uniqueId val="{0000000B-5BD8-404D-9157-B53AD3F6323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a:t>EE Revenue By Customer Class</a:t>
            </a:r>
          </a:p>
        </c:rich>
      </c:tx>
      <c:layout>
        <c:manualLayout>
          <c:xMode val="edge"/>
          <c:yMode val="edge"/>
          <c:x val="0.22270742358078602"/>
          <c:y val="3.6065573770491806E-2"/>
        </c:manualLayout>
      </c:layout>
      <c:overlay val="0"/>
      <c:spPr>
        <a:noFill/>
        <a:ln w="25400">
          <a:noFill/>
        </a:ln>
      </c:spPr>
    </c:title>
    <c:autoTitleDeleted val="0"/>
    <c:plotArea>
      <c:layout>
        <c:manualLayout>
          <c:layoutTarget val="inner"/>
          <c:xMode val="edge"/>
          <c:yMode val="edge"/>
          <c:x val="0.34497816593886466"/>
          <c:y val="0.3377049180327869"/>
          <c:w val="0.31877729257641924"/>
          <c:h val="0.478688524590163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7F5-461E-8F06-21DC8595E11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7F5-461E-8F06-21DC8595E11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7F5-461E-8F06-21DC8595E11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7F5-461E-8F06-21DC8595E11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7F5-461E-8F06-21DC8595E112}"/>
              </c:ext>
            </c:extLst>
          </c:dPt>
          <c:dLbls>
            <c:dLbl>
              <c:idx val="0"/>
              <c:layout>
                <c:manualLayout>
                  <c:x val="0.12027507478595746"/>
                  <c:y val="5.58874402994707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7F5-461E-8F06-21DC8595E112}"/>
                </c:ext>
              </c:extLst>
            </c:dLbl>
            <c:dLbl>
              <c:idx val="1"/>
              <c:layout>
                <c:manualLayout>
                  <c:x val="6.31977443867551E-2"/>
                  <c:y val="5.37804741620412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F5-461E-8F06-21DC8595E112}"/>
                </c:ext>
              </c:extLst>
            </c:dLbl>
            <c:dLbl>
              <c:idx val="2"/>
              <c:delete val="1"/>
              <c:extLst>
                <c:ext xmlns:c15="http://schemas.microsoft.com/office/drawing/2012/chart" uri="{CE6537A1-D6FC-4f65-9D91-7224C49458BB}"/>
                <c:ext xmlns:c16="http://schemas.microsoft.com/office/drawing/2014/chart" uri="{C3380CC4-5D6E-409C-BE32-E72D297353CC}">
                  <c16:uniqueId val="{00000004-B7F5-461E-8F06-21DC8595E112}"/>
                </c:ext>
              </c:extLst>
            </c:dLbl>
            <c:dLbl>
              <c:idx val="3"/>
              <c:layout>
                <c:manualLayout>
                  <c:x val="0.11633795229744753"/>
                  <c:y val="-2.06397315089712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7F5-461E-8F06-21DC8595E112}"/>
                </c:ext>
              </c:extLst>
            </c:dLbl>
            <c:dLbl>
              <c:idx val="4"/>
              <c:delete val="1"/>
              <c:extLst>
                <c:ext xmlns:c15="http://schemas.microsoft.com/office/drawing/2012/chart" uri="{CE6537A1-D6FC-4f65-9D91-7224C49458BB}"/>
                <c:ext xmlns:c16="http://schemas.microsoft.com/office/drawing/2014/chart" uri="{C3380CC4-5D6E-409C-BE32-E72D297353CC}">
                  <c16:uniqueId val="{00000008-B7F5-461E-8F06-21DC8595E112}"/>
                </c:ext>
              </c:extLst>
            </c:dLbl>
            <c:dLbl>
              <c:idx val="5"/>
              <c:layout>
                <c:manualLayout>
                  <c:xMode val="edge"/>
                  <c:yMode val="edge"/>
                  <c:x val="0.32751091703056767"/>
                  <c:y val="9.50819672131147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7F5-461E-8F06-21DC8595E112}"/>
                </c:ext>
              </c:extLst>
            </c:dLbl>
            <c:dLbl>
              <c:idx val="6"/>
              <c:layout>
                <c:manualLayout>
                  <c:xMode val="edge"/>
                  <c:yMode val="edge"/>
                  <c:x val="0.45196506550218341"/>
                  <c:y val="0.15409836065573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7F5-461E-8F06-21DC8595E112}"/>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('2023 Joint Table A1 Pies'!$B$30:$B$31,'2023 Joint Table A1 Pies'!$B$33:$B$34)</c:f>
              <c:strCache>
                <c:ptCount val="4"/>
                <c:pt idx="0">
                  <c:v>Res. Income-Eligible</c:v>
                </c:pt>
                <c:pt idx="1">
                  <c:v>Res. Non Income-Eligible</c:v>
                </c:pt>
                <c:pt idx="3">
                  <c:v>C&amp;I </c:v>
                </c:pt>
              </c:strCache>
            </c:strRef>
          </c:cat>
          <c:val>
            <c:numRef>
              <c:f>('2023 Joint Table A1 Pies'!$G$30:$G$31,'2023 Joint Table A1 Pies'!$G$33:$G$34)</c:f>
              <c:numCache>
                <c:formatCode>0%</c:formatCode>
                <c:ptCount val="4"/>
                <c:pt idx="0">
                  <c:v>0.12614</c:v>
                </c:pt>
                <c:pt idx="1">
                  <c:v>0.35416000000000003</c:v>
                </c:pt>
                <c:pt idx="3">
                  <c:v>0.51969999999999994</c:v>
                </c:pt>
              </c:numCache>
            </c:numRef>
          </c:val>
          <c:extLst>
            <c:ext xmlns:c16="http://schemas.microsoft.com/office/drawing/2014/chart" uri="{C3380CC4-5D6E-409C-BE32-E72D297353CC}">
              <c16:uniqueId val="{0000000B-B7F5-461E-8F06-21DC8595E11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aseline="0"/>
              <a:t>EE Budget By Customer Class</a:t>
            </a:r>
          </a:p>
        </c:rich>
      </c:tx>
      <c:layout>
        <c:manualLayout>
          <c:xMode val="edge"/>
          <c:yMode val="edge"/>
          <c:x val="0.23750026246719158"/>
          <c:y val="3.6065573770491806E-2"/>
        </c:manualLayout>
      </c:layout>
      <c:overlay val="0"/>
      <c:spPr>
        <a:noFill/>
        <a:ln w="25400">
          <a:noFill/>
        </a:ln>
      </c:spPr>
    </c:title>
    <c:autoTitleDeleted val="0"/>
    <c:plotArea>
      <c:layout>
        <c:manualLayout>
          <c:layoutTarget val="inner"/>
          <c:xMode val="edge"/>
          <c:yMode val="edge"/>
          <c:x val="0.32000039062547686"/>
          <c:y val="0.33442622950819673"/>
          <c:w val="0.35500043335013837"/>
          <c:h val="0.4655737704918032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DAD-4C80-96A6-6D40BD849A1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DAD-4C80-96A6-6D40BD849A10}"/>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4-FDAD-4C80-96A6-6D40BD849A10}"/>
              </c:ext>
            </c:extLst>
          </c:dPt>
          <c:dLbls>
            <c:dLbl>
              <c:idx val="0"/>
              <c:layout>
                <c:manualLayout>
                  <c:x val="0.14662460225588966"/>
                  <c:y val="3.0212815754718559E-2"/>
                </c:manualLayout>
              </c:layout>
              <c:tx>
                <c:rich>
                  <a:bodyPr/>
                  <a:lstStyle/>
                  <a:p>
                    <a:fld id="{8822EB7E-C648-4171-B0D3-7C983AD4ABCE}"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DAD-4C80-96A6-6D40BD849A10}"/>
                </c:ext>
              </c:extLst>
            </c:dLbl>
            <c:dLbl>
              <c:idx val="1"/>
              <c:layout>
                <c:manualLayout>
                  <c:x val="3.7081456335144411E-2"/>
                  <c:y val="1.108523729615765E-2"/>
                </c:manualLayout>
              </c:layout>
              <c:tx>
                <c:rich>
                  <a:bodyPr/>
                  <a:lstStyle/>
                  <a:p>
                    <a:fld id="{1718E016-86BA-43BC-BD8A-9F47BC524436}" type="CATEGORYNAME">
                      <a:rPr lang="en-US"/>
                      <a:pPr/>
                      <a:t>[CATEGORY NAME]</a:t>
                    </a:fld>
                    <a:r>
                      <a:rPr lang="en-US" baseline="0"/>
                      <a:t>
34%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DAD-4C80-96A6-6D40BD849A10}"/>
                </c:ext>
              </c:extLst>
            </c:dLbl>
            <c:dLbl>
              <c:idx val="2"/>
              <c:layout>
                <c:manualLayout>
                  <c:x val="0.12085721784776902"/>
                  <c:y val="-3.94310055505356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DAD-4C80-96A6-6D40BD849A10}"/>
                </c:ext>
              </c:extLst>
            </c:dLbl>
            <c:dLbl>
              <c:idx val="3"/>
              <c:layout>
                <c:manualLayout>
                  <c:xMode val="edge"/>
                  <c:yMode val="edge"/>
                  <c:x val="0.20000024414092302"/>
                  <c:y val="0.5540983606557377"/>
                </c:manualLayout>
              </c:layout>
              <c:tx>
                <c:rich>
                  <a:bodyPr/>
                  <a:lstStyle/>
                  <a:p>
                    <a:r>
                      <a:t>C&amp;I
59.0%</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DAD-4C80-96A6-6D40BD849A10}"/>
                </c:ext>
              </c:extLst>
            </c:dLbl>
            <c:dLbl>
              <c:idx val="5"/>
              <c:layout>
                <c:manualLayout>
                  <c:xMode val="edge"/>
                  <c:yMode val="edge"/>
                  <c:x val="0.43000052490298452"/>
                  <c:y val="0.177049180327868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DAD-4C80-96A6-6D40BD849A10}"/>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('2023 Joint Table A1 Pies'!$B$30:$B$31,'2023 Joint Table A1 Pies'!$B$34)</c:f>
              <c:strCache>
                <c:ptCount val="3"/>
                <c:pt idx="0">
                  <c:v>Res. Income-Eligible</c:v>
                </c:pt>
                <c:pt idx="1">
                  <c:v>Res. Non Income-Eligible</c:v>
                </c:pt>
                <c:pt idx="2">
                  <c:v>C&amp;I </c:v>
                </c:pt>
              </c:strCache>
            </c:strRef>
          </c:cat>
          <c:val>
            <c:numRef>
              <c:f>('2023 Joint Table A1 Pies'!$F$30:$F$31,'2023 Joint Table A1 Pies'!$F$34)</c:f>
              <c:numCache>
                <c:formatCode>0%</c:formatCode>
                <c:ptCount val="3"/>
                <c:pt idx="0">
                  <c:v>0.13863543228118819</c:v>
                </c:pt>
                <c:pt idx="1">
                  <c:v>0.34827632942317793</c:v>
                </c:pt>
                <c:pt idx="2">
                  <c:v>0.51308823829563377</c:v>
                </c:pt>
              </c:numCache>
            </c:numRef>
          </c:val>
          <c:extLst>
            <c:ext xmlns:c16="http://schemas.microsoft.com/office/drawing/2014/chart" uri="{C3380CC4-5D6E-409C-BE32-E72D297353CC}">
              <c16:uniqueId val="{00000007-FDAD-4C80-96A6-6D40BD849A1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a:t>EE Revenue By Customer Class</a:t>
            </a:r>
          </a:p>
        </c:rich>
      </c:tx>
      <c:layout>
        <c:manualLayout>
          <c:xMode val="edge"/>
          <c:yMode val="edge"/>
          <c:x val="0.20810002827552826"/>
          <c:y val="3.3976878117095632E-3"/>
        </c:manualLayout>
      </c:layout>
      <c:overlay val="0"/>
      <c:spPr>
        <a:noFill/>
        <a:ln w="25400">
          <a:noFill/>
        </a:ln>
      </c:spPr>
    </c:title>
    <c:autoTitleDeleted val="0"/>
    <c:plotArea>
      <c:layout>
        <c:manualLayout>
          <c:layoutTarget val="inner"/>
          <c:xMode val="edge"/>
          <c:yMode val="edge"/>
          <c:x val="0.19646929708953756"/>
          <c:y val="0.11799677036740644"/>
          <c:w val="0.5841455758383215"/>
          <c:h val="0.87091758720722523"/>
        </c:manualLayout>
      </c:layout>
      <c:pieChart>
        <c:varyColors val="1"/>
        <c:ser>
          <c:idx val="0"/>
          <c:order val="0"/>
          <c:spPr>
            <a:solidFill>
              <a:srgbClr val="9999FF"/>
            </a:solidFill>
            <a:ln w="12700">
              <a:solidFill>
                <a:srgbClr val="000000"/>
              </a:solidFill>
              <a:prstDash val="solid"/>
            </a:ln>
          </c:spPr>
          <c:dPt>
            <c:idx val="0"/>
            <c:bubble3D val="0"/>
            <c:explosion val="7"/>
            <c:spPr>
              <a:solidFill>
                <a:schemeClr val="accent1"/>
              </a:solidFill>
              <a:ln w="12700">
                <a:solidFill>
                  <a:srgbClr val="000000"/>
                </a:solidFill>
                <a:prstDash val="solid"/>
              </a:ln>
            </c:spPr>
            <c:extLst>
              <c:ext xmlns:c16="http://schemas.microsoft.com/office/drawing/2014/chart" uri="{C3380CC4-5D6E-409C-BE32-E72D297353CC}">
                <c16:uniqueId val="{00000001-DCA3-4859-9097-739F30B557AD}"/>
              </c:ext>
            </c:extLst>
          </c:dPt>
          <c:dPt>
            <c:idx val="1"/>
            <c:bubble3D val="0"/>
            <c:explosion val="1"/>
            <c:spPr>
              <a:solidFill>
                <a:schemeClr val="tx2"/>
              </a:solidFill>
              <a:ln w="12700">
                <a:solidFill>
                  <a:srgbClr val="000000"/>
                </a:solidFill>
                <a:prstDash val="solid"/>
              </a:ln>
            </c:spPr>
            <c:extLst>
              <c:ext xmlns:c16="http://schemas.microsoft.com/office/drawing/2014/chart" uri="{C3380CC4-5D6E-409C-BE32-E72D297353CC}">
                <c16:uniqueId val="{00000003-DCA3-4859-9097-739F30B557A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DCA3-4859-9097-739F30B557AD}"/>
              </c:ext>
            </c:extLst>
          </c:dPt>
          <c:dPt>
            <c:idx val="3"/>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DCA3-4859-9097-739F30B557A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DCA3-4859-9097-739F30B557AD}"/>
              </c:ext>
            </c:extLst>
          </c:dPt>
          <c:dLbls>
            <c:dLbl>
              <c:idx val="0"/>
              <c:layout>
                <c:manualLayout>
                  <c:x val="0.13731708369077106"/>
                  <c:y val="0.1507792560412706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A3-4859-9097-739F30B557AD}"/>
                </c:ext>
              </c:extLst>
            </c:dLbl>
            <c:dLbl>
              <c:idx val="1"/>
              <c:layout>
                <c:manualLayout>
                  <c:x val="3.1548396681699023E-2"/>
                  <c:y val="-8.77802706603598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CA3-4859-9097-739F30B557AD}"/>
                </c:ext>
              </c:extLst>
            </c:dLbl>
            <c:dLbl>
              <c:idx val="2"/>
              <c:delete val="1"/>
              <c:extLst>
                <c:ext xmlns:c15="http://schemas.microsoft.com/office/drawing/2012/chart" uri="{CE6537A1-D6FC-4f65-9D91-7224C49458BB}"/>
                <c:ext xmlns:c16="http://schemas.microsoft.com/office/drawing/2014/chart" uri="{C3380CC4-5D6E-409C-BE32-E72D297353CC}">
                  <c16:uniqueId val="{00000005-DCA3-4859-9097-739F30B557AD}"/>
                </c:ext>
              </c:extLst>
            </c:dLbl>
            <c:dLbl>
              <c:idx val="3"/>
              <c:layout>
                <c:manualLayout>
                  <c:x val="-3.460541260705164E-2"/>
                  <c:y val="-0.136792088829186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CA3-4859-9097-739F30B557AD}"/>
                </c:ext>
              </c:extLst>
            </c:dLbl>
            <c:dLbl>
              <c:idx val="4"/>
              <c:delete val="1"/>
              <c:extLst>
                <c:ext xmlns:c15="http://schemas.microsoft.com/office/drawing/2012/chart" uri="{CE6537A1-D6FC-4f65-9D91-7224C49458BB}"/>
                <c:ext xmlns:c16="http://schemas.microsoft.com/office/drawing/2014/chart" uri="{C3380CC4-5D6E-409C-BE32-E72D297353CC}">
                  <c16:uniqueId val="{00000009-DCA3-4859-9097-739F30B557AD}"/>
                </c:ext>
              </c:extLst>
            </c:dLbl>
            <c:dLbl>
              <c:idx val="5"/>
              <c:layout>
                <c:manualLayout>
                  <c:xMode val="edge"/>
                  <c:yMode val="edge"/>
                  <c:x val="0.32751091703056767"/>
                  <c:y val="9.50819672131147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CA3-4859-9097-739F30B557AD}"/>
                </c:ext>
              </c:extLst>
            </c:dLbl>
            <c:dLbl>
              <c:idx val="6"/>
              <c:layout>
                <c:manualLayout>
                  <c:xMode val="edge"/>
                  <c:yMode val="edge"/>
                  <c:x val="0.45196506550218341"/>
                  <c:y val="0.15409836065573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CA3-4859-9097-739F30B557AD}"/>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('[17]2023 Joint Table A1 Pies - Elec'!$B$30:$B$31,'[17]2023 Joint Table A1 Pies - Elec'!$B$33:$B$34)</c:f>
              <c:strCache>
                <c:ptCount val="4"/>
                <c:pt idx="0">
                  <c:v>Res. Income-Eligible</c:v>
                </c:pt>
                <c:pt idx="1">
                  <c:v>Res. Non Income-Eligible</c:v>
                </c:pt>
                <c:pt idx="3">
                  <c:v>C&amp;I </c:v>
                </c:pt>
              </c:strCache>
            </c:strRef>
          </c:cat>
          <c:val>
            <c:numRef>
              <c:f>('[17]2023 Joint Table A1 Pies - Elec'!$G$30:$G$31,'[17]2023 Joint Table A1 Pies - Elec'!$G$33:$G$34)</c:f>
              <c:numCache>
                <c:formatCode>General</c:formatCode>
                <c:ptCount val="4"/>
                <c:pt idx="0">
                  <c:v>0.12614</c:v>
                </c:pt>
                <c:pt idx="1">
                  <c:v>0.35416000000000003</c:v>
                </c:pt>
                <c:pt idx="3">
                  <c:v>0.51969999999999994</c:v>
                </c:pt>
              </c:numCache>
            </c:numRef>
          </c:val>
          <c:extLst>
            <c:ext xmlns:c16="http://schemas.microsoft.com/office/drawing/2014/chart" uri="{C3380CC4-5D6E-409C-BE32-E72D297353CC}">
              <c16:uniqueId val="{0000000C-DCA3-4859-9097-739F30B557A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baseline="0"/>
              <a:t>EE Budget By Customer Class</a:t>
            </a:r>
          </a:p>
        </c:rich>
      </c:tx>
      <c:layout>
        <c:manualLayout>
          <c:xMode val="edge"/>
          <c:yMode val="edge"/>
          <c:x val="0.20225804373572245"/>
          <c:y val="3.0075992567044833E-3"/>
        </c:manualLayout>
      </c:layout>
      <c:overlay val="0"/>
      <c:spPr>
        <a:noFill/>
        <a:ln w="25400">
          <a:noFill/>
        </a:ln>
      </c:spPr>
    </c:title>
    <c:autoTitleDeleted val="0"/>
    <c:plotArea>
      <c:layout>
        <c:manualLayout>
          <c:layoutTarget val="inner"/>
          <c:xMode val="edge"/>
          <c:yMode val="edge"/>
          <c:x val="0.17685564634817125"/>
          <c:y val="0.17648322885259177"/>
          <c:w val="0.53304579218346604"/>
          <c:h val="0.77778674359919886"/>
        </c:manualLayout>
      </c:layout>
      <c:pieChart>
        <c:varyColors val="1"/>
        <c:ser>
          <c:idx val="0"/>
          <c:order val="0"/>
          <c:spPr>
            <a:solidFill>
              <a:srgbClr val="9999FF"/>
            </a:solidFill>
            <a:ln w="12700">
              <a:solidFill>
                <a:srgbClr val="000000"/>
              </a:solidFill>
              <a:prstDash val="solid"/>
            </a:ln>
          </c:spPr>
          <c:dPt>
            <c:idx val="0"/>
            <c:bubble3D val="0"/>
            <c:explosion val="5"/>
            <c:spPr>
              <a:solidFill>
                <a:schemeClr val="accent1"/>
              </a:solidFill>
              <a:ln w="12700">
                <a:solidFill>
                  <a:srgbClr val="000000"/>
                </a:solidFill>
                <a:prstDash val="solid"/>
              </a:ln>
            </c:spPr>
            <c:extLst>
              <c:ext xmlns:c16="http://schemas.microsoft.com/office/drawing/2014/chart" uri="{C3380CC4-5D6E-409C-BE32-E72D297353CC}">
                <c16:uniqueId val="{00000001-5289-492C-B810-956C6136EBFA}"/>
              </c:ext>
            </c:extLst>
          </c:dPt>
          <c:dPt>
            <c:idx val="1"/>
            <c:bubble3D val="0"/>
            <c:explosion val="7"/>
            <c:spPr>
              <a:solidFill>
                <a:schemeClr val="tx2"/>
              </a:solidFill>
              <a:ln w="12700">
                <a:solidFill>
                  <a:srgbClr val="000000"/>
                </a:solidFill>
                <a:prstDash val="solid"/>
              </a:ln>
            </c:spPr>
            <c:extLst>
              <c:ext xmlns:c16="http://schemas.microsoft.com/office/drawing/2014/chart" uri="{C3380CC4-5D6E-409C-BE32-E72D297353CC}">
                <c16:uniqueId val="{00000003-5289-492C-B810-956C6136EBFA}"/>
              </c:ext>
            </c:extLst>
          </c:dPt>
          <c:dPt>
            <c:idx val="2"/>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5-5289-492C-B810-956C6136EBFA}"/>
              </c:ext>
            </c:extLst>
          </c:dPt>
          <c:dLbls>
            <c:dLbl>
              <c:idx val="0"/>
              <c:layout>
                <c:manualLayout>
                  <c:x val="0.10817713716573009"/>
                  <c:y val="0.13552739501312333"/>
                </c:manualLayout>
              </c:layout>
              <c:tx>
                <c:rich>
                  <a:bodyPr/>
                  <a:lstStyle/>
                  <a:p>
                    <a:fld id="{8822EB7E-C648-4171-B0D3-7C983AD4ABCE}"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289-492C-B810-956C6136EBFA}"/>
                </c:ext>
              </c:extLst>
            </c:dLbl>
            <c:dLbl>
              <c:idx val="1"/>
              <c:layout>
                <c:manualLayout>
                  <c:x val="3.7081456335144411E-2"/>
                  <c:y val="1.108523729615765E-2"/>
                </c:manualLayout>
              </c:layout>
              <c:tx>
                <c:rich>
                  <a:bodyPr/>
                  <a:lstStyle/>
                  <a:p>
                    <a:fld id="{1718E016-86BA-43BC-BD8A-9F47BC524436}" type="CATEGORYNAME">
                      <a:rPr lang="en-US"/>
                      <a:pPr/>
                      <a:t>[CATEGORY NAME]</a:t>
                    </a:fld>
                    <a:r>
                      <a:rPr lang="en-US" baseline="0"/>
                      <a:t>
34%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289-492C-B810-956C6136EBFA}"/>
                </c:ext>
              </c:extLst>
            </c:dLbl>
            <c:dLbl>
              <c:idx val="2"/>
              <c:layout>
                <c:manualLayout>
                  <c:x val="-1.5077278335802762E-2"/>
                  <c:y val="-0.149623941635394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89-492C-B810-956C6136EBFA}"/>
                </c:ext>
              </c:extLst>
            </c:dLbl>
            <c:dLbl>
              <c:idx val="3"/>
              <c:layout>
                <c:manualLayout>
                  <c:xMode val="edge"/>
                  <c:yMode val="edge"/>
                  <c:x val="0.20000024414092302"/>
                  <c:y val="0.5540983606557377"/>
                </c:manualLayout>
              </c:layout>
              <c:tx>
                <c:rich>
                  <a:bodyPr/>
                  <a:lstStyle/>
                  <a:p>
                    <a:r>
                      <a:t>C&amp;I
59.0%</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289-492C-B810-956C6136EBFA}"/>
                </c:ext>
              </c:extLst>
            </c:dLbl>
            <c:dLbl>
              <c:idx val="5"/>
              <c:layout>
                <c:manualLayout>
                  <c:xMode val="edge"/>
                  <c:yMode val="edge"/>
                  <c:x val="0.43000052490298452"/>
                  <c:y val="0.177049180327868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289-492C-B810-956C6136EBFA}"/>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('[17]2023 Joint Table A1 Pies - Elec'!$B$30:$B$31,'[17]2023 Joint Table A1 Pies - Elec'!$B$34)</c:f>
              <c:strCache>
                <c:ptCount val="3"/>
                <c:pt idx="0">
                  <c:v>Res. Income-Eligible</c:v>
                </c:pt>
                <c:pt idx="1">
                  <c:v>Res. Non Income-Eligible</c:v>
                </c:pt>
                <c:pt idx="2">
                  <c:v>C&amp;I </c:v>
                </c:pt>
              </c:strCache>
            </c:strRef>
          </c:cat>
          <c:val>
            <c:numRef>
              <c:f>('[17]2023 Joint Table A1 Pies - Elec'!$F$30:$F$31,'[17]2023 Joint Table A1 Pies - Elec'!$F$34)</c:f>
              <c:numCache>
                <c:formatCode>General</c:formatCode>
                <c:ptCount val="3"/>
                <c:pt idx="0">
                  <c:v>0.13558328721399837</c:v>
                </c:pt>
                <c:pt idx="1">
                  <c:v>0.34771131568099223</c:v>
                </c:pt>
                <c:pt idx="2">
                  <c:v>0.5167053971050094</c:v>
                </c:pt>
              </c:numCache>
            </c:numRef>
          </c:val>
          <c:extLst>
            <c:ext xmlns:c16="http://schemas.microsoft.com/office/drawing/2014/chart" uri="{C3380CC4-5D6E-409C-BE32-E72D297353CC}">
              <c16:uniqueId val="{00000008-5289-492C-B810-956C6136EBF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baseline="0"/>
              <a:t>EE Budget By Customer Class</a:t>
            </a:r>
          </a:p>
        </c:rich>
      </c:tx>
      <c:layout>
        <c:manualLayout>
          <c:xMode val="edge"/>
          <c:yMode val="edge"/>
          <c:x val="0.20225804373572245"/>
          <c:y val="3.0075992567044833E-3"/>
        </c:manualLayout>
      </c:layout>
      <c:overlay val="0"/>
      <c:spPr>
        <a:noFill/>
        <a:ln w="25400">
          <a:noFill/>
        </a:ln>
      </c:spPr>
    </c:title>
    <c:autoTitleDeleted val="0"/>
    <c:plotArea>
      <c:layout>
        <c:manualLayout>
          <c:layoutTarget val="inner"/>
          <c:xMode val="edge"/>
          <c:yMode val="edge"/>
          <c:x val="0.18687403205034153"/>
          <c:y val="9.0062588330304866E-2"/>
          <c:w val="0.64056536100360328"/>
          <c:h val="0.89282903806163694"/>
        </c:manualLayout>
      </c:layout>
      <c:pieChart>
        <c:varyColors val="1"/>
        <c:ser>
          <c:idx val="0"/>
          <c:order val="0"/>
          <c:spPr>
            <a:solidFill>
              <a:srgbClr val="9999FF"/>
            </a:solidFill>
            <a:ln w="12700">
              <a:solidFill>
                <a:srgbClr val="000000"/>
              </a:solidFill>
              <a:prstDash val="solid"/>
            </a:ln>
          </c:spPr>
          <c:explosion val="6"/>
          <c:dPt>
            <c:idx val="0"/>
            <c:bubble3D val="0"/>
            <c:spPr>
              <a:solidFill>
                <a:schemeClr val="accent1"/>
              </a:solidFill>
              <a:ln w="12700">
                <a:solidFill>
                  <a:srgbClr val="000000"/>
                </a:solidFill>
                <a:prstDash val="solid"/>
              </a:ln>
            </c:spPr>
            <c:extLst>
              <c:ext xmlns:c16="http://schemas.microsoft.com/office/drawing/2014/chart" uri="{C3380CC4-5D6E-409C-BE32-E72D297353CC}">
                <c16:uniqueId val="{00000001-F496-4450-B73D-93F1B5794833}"/>
              </c:ext>
            </c:extLst>
          </c:dPt>
          <c:dPt>
            <c:idx val="1"/>
            <c:bubble3D val="0"/>
            <c:spPr>
              <a:solidFill>
                <a:schemeClr val="tx2"/>
              </a:solidFill>
              <a:ln w="12700">
                <a:solidFill>
                  <a:srgbClr val="000000"/>
                </a:solidFill>
                <a:prstDash val="solid"/>
              </a:ln>
            </c:spPr>
            <c:extLst>
              <c:ext xmlns:c16="http://schemas.microsoft.com/office/drawing/2014/chart" uri="{C3380CC4-5D6E-409C-BE32-E72D297353CC}">
                <c16:uniqueId val="{00000003-F496-4450-B73D-93F1B5794833}"/>
              </c:ext>
            </c:extLst>
          </c:dPt>
          <c:dPt>
            <c:idx val="2"/>
            <c:bubble3D val="0"/>
            <c:spPr>
              <a:solidFill>
                <a:schemeClr val="accent6">
                  <a:lumMod val="50000"/>
                </a:schemeClr>
              </a:solidFill>
              <a:ln w="12700">
                <a:solidFill>
                  <a:srgbClr val="000000"/>
                </a:solidFill>
                <a:prstDash val="solid"/>
              </a:ln>
            </c:spPr>
            <c:extLst>
              <c:ext xmlns:c16="http://schemas.microsoft.com/office/drawing/2014/chart" uri="{C3380CC4-5D6E-409C-BE32-E72D297353CC}">
                <c16:uniqueId val="{00000005-F496-4450-B73D-93F1B5794833}"/>
              </c:ext>
            </c:extLst>
          </c:dPt>
          <c:dPt>
            <c:idx val="3"/>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F496-4450-B73D-93F1B5794833}"/>
              </c:ext>
            </c:extLst>
          </c:dPt>
          <c:dPt>
            <c:idx val="4"/>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9-F496-4450-B73D-93F1B5794833}"/>
              </c:ext>
            </c:extLst>
          </c:dPt>
          <c:dPt>
            <c:idx val="5"/>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B-F496-4450-B73D-93F1B5794833}"/>
              </c:ext>
            </c:extLst>
          </c:dPt>
          <c:dLbls>
            <c:dLbl>
              <c:idx val="0"/>
              <c:layout>
                <c:manualLayout>
                  <c:x val="-0.11656262511677566"/>
                  <c:y val="0.19401364517862565"/>
                </c:manualLayout>
              </c:layout>
              <c:tx>
                <c:rich>
                  <a:bodyPr/>
                  <a:lstStyle/>
                  <a:p>
                    <a:fld id="{8822EB7E-C648-4171-B0D3-7C983AD4ABCE}"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496-4450-B73D-93F1B5794833}"/>
                </c:ext>
              </c:extLst>
            </c:dLbl>
            <c:dLbl>
              <c:idx val="1"/>
              <c:layout>
                <c:manualLayout>
                  <c:x val="-0.22234965194568071"/>
                  <c:y val="-0.11906296969289096"/>
                </c:manualLayout>
              </c:layout>
              <c:tx>
                <c:rich>
                  <a:bodyPr/>
                  <a:lstStyle/>
                  <a:p>
                    <a:fld id="{1718E016-86BA-43BC-BD8A-9F47BC524436}" type="CATEGORYNAME">
                      <a:rPr lang="en-US"/>
                      <a:pPr/>
                      <a:t>[CATEGORY NAME]</a:t>
                    </a:fld>
                    <a:r>
                      <a:rPr lang="en-US" baseline="0"/>
                      <a:t>
35%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496-4450-B73D-93F1B5794833}"/>
                </c:ext>
              </c:extLst>
            </c:dLbl>
            <c:dLbl>
              <c:idx val="2"/>
              <c:layout>
                <c:manualLayout>
                  <c:x val="8.2698972882089522E-2"/>
                  <c:y val="-0.141120437775466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96-4450-B73D-93F1B5794833}"/>
                </c:ext>
              </c:extLst>
            </c:dLbl>
            <c:dLbl>
              <c:idx val="3"/>
              <c:tx>
                <c:rich>
                  <a:bodyPr/>
                  <a:lstStyle/>
                  <a:p>
                    <a:r>
                      <a:rPr lang="en-US"/>
                      <a:t>C&amp;I Q2
13%</a:t>
                    </a:r>
                  </a:p>
                </c:rich>
              </c:tx>
              <c:dLblPos val="inEnd"/>
              <c:showLegendKey val="0"/>
              <c:showVal val="0"/>
              <c:showCatName val="1"/>
              <c:showSerName val="0"/>
              <c:showPercent val="1"/>
              <c:showBubbleSize val="0"/>
              <c:extLst>
                <c:ext xmlns:c15="http://schemas.microsoft.com/office/drawing/2012/chart" uri="{CE6537A1-D6FC-4f65-9D91-7224C49458BB}">
                  <c15:layout>
                    <c:manualLayout>
                      <c:w val="0.11940334128878281"/>
                      <c:h val="0.10628472222222222"/>
                    </c:manualLayout>
                  </c15:layout>
                  <c15:showDataLabelsRange val="0"/>
                </c:ext>
                <c:ext xmlns:c16="http://schemas.microsoft.com/office/drawing/2014/chart" uri="{C3380CC4-5D6E-409C-BE32-E72D297353CC}">
                  <c16:uniqueId val="{00000007-F496-4450-B73D-93F1B5794833}"/>
                </c:ext>
              </c:extLst>
            </c:dLbl>
            <c:dLbl>
              <c:idx val="4"/>
              <c:layout>
                <c:manualLayout>
                  <c:x val="0.13453163756221803"/>
                  <c:y val="3.6919229435943147E-2"/>
                </c:manualLayout>
              </c:layout>
              <c:tx>
                <c:rich>
                  <a:bodyPr/>
                  <a:lstStyle/>
                  <a:p>
                    <a:fld id="{4413BE5D-9032-4796-A389-2C8E9FD0DD67}" type="CATEGORYNAME">
                      <a:rPr lang="en-US" sz="1200">
                        <a:solidFill>
                          <a:sysClr val="windowText" lastClr="000000"/>
                        </a:solidFill>
                      </a:rPr>
                      <a:pPr/>
                      <a:t>[CATEGORY NAME]</a:t>
                    </a:fld>
                    <a:r>
                      <a:rPr lang="en-US" sz="1200" baseline="0">
                        <a:solidFill>
                          <a:sysClr val="windowText" lastClr="000000"/>
                        </a:solidFill>
                      </a:rPr>
                      <a:t>
</a:t>
                    </a:r>
                    <a:fld id="{055973E7-F25D-4BD9-850F-B32AAE2EAAAF}" type="PERCENTAGE">
                      <a:rPr lang="en-US" sz="1200" baseline="0">
                        <a:solidFill>
                          <a:sysClr val="windowText" lastClr="000000"/>
                        </a:solidFill>
                      </a:rPr>
                      <a:pPr/>
                      <a:t>[PERCENTAGE]</a:t>
                    </a:fld>
                    <a:endParaRPr lang="en-US" sz="1200"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496-4450-B73D-93F1B5794833}"/>
                </c:ext>
              </c:extLst>
            </c:dLbl>
            <c:dLbl>
              <c:idx val="5"/>
              <c:layout>
                <c:manualLayout>
                  <c:x val="9.458424198032328E-2"/>
                  <c:y val="0.17043331847669985"/>
                </c:manualLayout>
              </c:layout>
              <c:tx>
                <c:rich>
                  <a:bodyPr/>
                  <a:lstStyle/>
                  <a:p>
                    <a:fld id="{B1845483-7C2E-4402-B174-46D20E29D30A}" type="CATEGORYNAME">
                      <a:rPr lang="en-US" sz="1200">
                        <a:solidFill>
                          <a:sysClr val="windowText" lastClr="000000"/>
                        </a:solidFill>
                      </a:rPr>
                      <a:pPr/>
                      <a:t>[CATEGORY NAME]</a:t>
                    </a:fld>
                    <a:r>
                      <a:rPr lang="en-US" sz="1200" baseline="0">
                        <a:solidFill>
                          <a:sysClr val="windowText" lastClr="000000"/>
                        </a:solidFill>
                      </a:rPr>
                      <a:t>
</a:t>
                    </a:r>
                    <a:fld id="{510A94F3-EC96-4B06-915A-7F1BFFE933E5}" type="PERCENTAGE">
                      <a:rPr lang="en-US" sz="1200" baseline="0">
                        <a:solidFill>
                          <a:sysClr val="windowText" lastClr="000000"/>
                        </a:solidFill>
                      </a:rPr>
                      <a:pPr/>
                      <a:t>[PERCENTAGE]</a:t>
                    </a:fld>
                    <a:endParaRPr lang="en-US" sz="1200"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F496-4450-B73D-93F1B5794833}"/>
                </c:ext>
              </c:extLst>
            </c:dLbl>
            <c:numFmt formatCode="0%" sourceLinked="0"/>
            <c:spPr>
              <a:noFill/>
              <a:ln w="25400">
                <a:noFill/>
              </a:ln>
            </c:spPr>
            <c:txPr>
              <a:bodyPr/>
              <a:lstStyle/>
              <a:p>
                <a:pPr>
                  <a:defRPr sz="1200" b="1" i="0" u="none" strike="noStrike" baseline="0">
                    <a:solidFill>
                      <a:schemeClr val="bg1"/>
                    </a:solidFill>
                    <a:latin typeface="Arial"/>
                    <a:ea typeface="Arial"/>
                    <a:cs typeface="Arial"/>
                  </a:defRPr>
                </a:pPr>
                <a:endParaRPr lang="en-US"/>
              </a:p>
            </c:txPr>
            <c:dLblPos val="inEnd"/>
            <c:showLegendKey val="0"/>
            <c:showVal val="0"/>
            <c:showCatName val="1"/>
            <c:showSerName val="0"/>
            <c:showPercent val="1"/>
            <c:showBubbleSize val="0"/>
            <c:showLeaderLines val="1"/>
            <c:extLst>
              <c:ext xmlns:c15="http://schemas.microsoft.com/office/drawing/2012/chart" uri="{CE6537A1-D6FC-4f65-9D91-7224C49458BB}"/>
            </c:extLst>
          </c:dLbls>
          <c:cat>
            <c:strRef>
              <c:f>('[17]2023 Joint Table A1 Pies - Elec'!$B$30:$B$31,'[17]2023 Joint Table A1 Pies - Elec'!$B$35:$B$38)</c:f>
              <c:strCache>
                <c:ptCount val="6"/>
                <c:pt idx="0">
                  <c:v>Res. Income-Eligible</c:v>
                </c:pt>
                <c:pt idx="1">
                  <c:v>Res. Non Income-Eligible</c:v>
                </c:pt>
                <c:pt idx="2">
                  <c:v>C&amp;I Q1</c:v>
                </c:pt>
                <c:pt idx="3">
                  <c:v>C&amp;I Q2</c:v>
                </c:pt>
                <c:pt idx="4">
                  <c:v>C&amp;I Q3</c:v>
                </c:pt>
                <c:pt idx="5">
                  <c:v>C&amp;I Q4</c:v>
                </c:pt>
              </c:strCache>
            </c:strRef>
          </c:cat>
          <c:val>
            <c:numRef>
              <c:f>('[17]2023 Joint Table A1 Pies - Elec'!$F$30:$F$31,'[17]2023 Joint Table A1 Pies - Elec'!$F$35:$F$38)</c:f>
              <c:numCache>
                <c:formatCode>General</c:formatCode>
                <c:ptCount val="6"/>
                <c:pt idx="0">
                  <c:v>0.13558328721399837</c:v>
                </c:pt>
                <c:pt idx="1">
                  <c:v>0.34771131568099223</c:v>
                </c:pt>
                <c:pt idx="2">
                  <c:v>0.12917634927625235</c:v>
                </c:pt>
                <c:pt idx="3">
                  <c:v>0.12917634927625235</c:v>
                </c:pt>
                <c:pt idx="4">
                  <c:v>0.12917634927625235</c:v>
                </c:pt>
                <c:pt idx="5">
                  <c:v>0.12917634927625235</c:v>
                </c:pt>
              </c:numCache>
            </c:numRef>
          </c:val>
          <c:extLst>
            <c:ext xmlns:c16="http://schemas.microsoft.com/office/drawing/2014/chart" uri="{C3380CC4-5D6E-409C-BE32-E72D297353CC}">
              <c16:uniqueId val="{0000000C-F496-4450-B73D-93F1B579483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a:t>EE Revenue By Customer Class</a:t>
            </a:r>
          </a:p>
        </c:rich>
      </c:tx>
      <c:layout>
        <c:manualLayout>
          <c:xMode val="edge"/>
          <c:yMode val="edge"/>
          <c:x val="0.20810002827552826"/>
          <c:y val="3.3976878117095632E-3"/>
        </c:manualLayout>
      </c:layout>
      <c:overlay val="0"/>
      <c:spPr>
        <a:noFill/>
        <a:ln w="25400">
          <a:noFill/>
        </a:ln>
      </c:spPr>
    </c:title>
    <c:autoTitleDeleted val="0"/>
    <c:plotArea>
      <c:layout>
        <c:manualLayout>
          <c:layoutTarget val="inner"/>
          <c:xMode val="edge"/>
          <c:yMode val="edge"/>
          <c:x val="0.15465853865041065"/>
          <c:y val="9.9517469787028717E-2"/>
          <c:w val="0.67800694268055195"/>
          <c:h val="0.87819840765029711"/>
        </c:manualLayout>
      </c:layout>
      <c:pieChart>
        <c:varyColors val="1"/>
        <c:ser>
          <c:idx val="0"/>
          <c:order val="0"/>
          <c:spPr>
            <a:solidFill>
              <a:srgbClr val="9999FF"/>
            </a:solidFill>
            <a:ln w="12700">
              <a:solidFill>
                <a:srgbClr val="000000"/>
              </a:solidFill>
              <a:prstDash val="solid"/>
            </a:ln>
          </c:spPr>
          <c:explosion val="6"/>
          <c:dPt>
            <c:idx val="0"/>
            <c:bubble3D val="0"/>
            <c:spPr>
              <a:solidFill>
                <a:schemeClr val="accent1"/>
              </a:solidFill>
              <a:ln w="12700">
                <a:solidFill>
                  <a:srgbClr val="000000"/>
                </a:solidFill>
                <a:prstDash val="solid"/>
              </a:ln>
            </c:spPr>
            <c:extLst>
              <c:ext xmlns:c16="http://schemas.microsoft.com/office/drawing/2014/chart" uri="{C3380CC4-5D6E-409C-BE32-E72D297353CC}">
                <c16:uniqueId val="{00000001-DAC7-4476-88B7-1723D7775C53}"/>
              </c:ext>
            </c:extLst>
          </c:dPt>
          <c:dPt>
            <c:idx val="1"/>
            <c:bubble3D val="0"/>
            <c:spPr>
              <a:solidFill>
                <a:schemeClr val="tx2"/>
              </a:solidFill>
              <a:ln w="12700">
                <a:solidFill>
                  <a:srgbClr val="000000"/>
                </a:solidFill>
                <a:prstDash val="solid"/>
              </a:ln>
            </c:spPr>
            <c:extLst>
              <c:ext xmlns:c16="http://schemas.microsoft.com/office/drawing/2014/chart" uri="{C3380CC4-5D6E-409C-BE32-E72D297353CC}">
                <c16:uniqueId val="{00000003-DAC7-4476-88B7-1723D7775C53}"/>
              </c:ext>
            </c:extLst>
          </c:dPt>
          <c:dPt>
            <c:idx val="2"/>
            <c:bubble3D val="0"/>
            <c:spPr>
              <a:solidFill>
                <a:schemeClr val="accent6">
                  <a:lumMod val="50000"/>
                </a:schemeClr>
              </a:solidFill>
              <a:ln w="12700">
                <a:solidFill>
                  <a:srgbClr val="000000"/>
                </a:solidFill>
                <a:prstDash val="solid"/>
              </a:ln>
            </c:spPr>
            <c:extLst>
              <c:ext xmlns:c16="http://schemas.microsoft.com/office/drawing/2014/chart" uri="{C3380CC4-5D6E-409C-BE32-E72D297353CC}">
                <c16:uniqueId val="{00000005-DAC7-4476-88B7-1723D7775C53}"/>
              </c:ext>
            </c:extLst>
          </c:dPt>
          <c:dPt>
            <c:idx val="3"/>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DAC7-4476-88B7-1723D7775C53}"/>
              </c:ext>
            </c:extLst>
          </c:dPt>
          <c:dPt>
            <c:idx val="4"/>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9-DAC7-4476-88B7-1723D7775C53}"/>
              </c:ext>
            </c:extLst>
          </c:dPt>
          <c:dPt>
            <c:idx val="5"/>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B-DAC7-4476-88B7-1723D7775C53}"/>
              </c:ext>
            </c:extLst>
          </c:dPt>
          <c:dLbls>
            <c:dLbl>
              <c:idx val="0"/>
              <c:layout>
                <c:manualLayout>
                  <c:x val="-0.11595380359159886"/>
                  <c:y val="0.147629777348327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C7-4476-88B7-1723D7775C53}"/>
                </c:ext>
              </c:extLst>
            </c:dLbl>
            <c:dLbl>
              <c:idx val="1"/>
              <c:layout>
                <c:manualLayout>
                  <c:x val="-0.20742308017949368"/>
                  <c:y val="-0.123496589388721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C7-4476-88B7-1723D7775C53}"/>
                </c:ext>
              </c:extLst>
            </c:dLbl>
            <c:dLbl>
              <c:idx val="2"/>
              <c:layout>
                <c:manualLayout>
                  <c:x val="8.1420433152716618E-2"/>
                  <c:y val="-0.16825579243847782"/>
                </c:manualLayout>
              </c:layout>
              <c:tx>
                <c:rich>
                  <a:bodyPr/>
                  <a:lstStyle/>
                  <a:p>
                    <a:fld id="{5E785607-D657-4933-87FF-1718FC66E52C}" type="CATEGORYNAME">
                      <a:rPr lang="en-US"/>
                      <a:pPr/>
                      <a:t>[CATEGORY NAME]</a:t>
                    </a:fld>
                    <a:r>
                      <a:rPr lang="en-US" baseline="0"/>
                      <a:t>,</a:t>
                    </a:r>
                  </a:p>
                  <a:p>
                    <a:r>
                      <a:rPr lang="en-US" baseline="0"/>
                      <a:t> </a:t>
                    </a:r>
                    <a:fld id="{E29260B4-4CA2-420E-B467-F61C30C4D55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AC7-4476-88B7-1723D7775C53}"/>
                </c:ext>
              </c:extLst>
            </c:dLbl>
            <c:dLbl>
              <c:idx val="3"/>
              <c:dLblPos val="inEnd"/>
              <c:showLegendKey val="0"/>
              <c:showVal val="0"/>
              <c:showCatName val="1"/>
              <c:showSerName val="0"/>
              <c:showPercent val="1"/>
              <c:showBubbleSize val="0"/>
              <c:extLst>
                <c:ext xmlns:c15="http://schemas.microsoft.com/office/drawing/2012/chart" uri="{CE6537A1-D6FC-4f65-9D91-7224C49458BB}">
                  <c15:layout>
                    <c:manualLayout>
                      <c:w val="0.13178807947019869"/>
                      <c:h val="0.11120078740157478"/>
                    </c:manualLayout>
                  </c15:layout>
                </c:ext>
                <c:ext xmlns:c16="http://schemas.microsoft.com/office/drawing/2014/chart" uri="{C3380CC4-5D6E-409C-BE32-E72D297353CC}">
                  <c16:uniqueId val="{00000007-DAC7-4476-88B7-1723D7775C53}"/>
                </c:ext>
              </c:extLst>
            </c:dLbl>
            <c:dLbl>
              <c:idx val="4"/>
              <c:tx>
                <c:rich>
                  <a:bodyPr/>
                  <a:lstStyle/>
                  <a:p>
                    <a:fld id="{27B45E45-68E6-4D00-9F5A-778CB3300610}" type="CATEGORYNAME">
                      <a:rPr lang="en-US" sz="1200">
                        <a:solidFill>
                          <a:sysClr val="windowText" lastClr="000000"/>
                        </a:solidFill>
                      </a:rPr>
                      <a:pPr/>
                      <a:t>[CATEGORY NAME]</a:t>
                    </a:fld>
                    <a:r>
                      <a:rPr lang="en-US" sz="1200" baseline="0">
                        <a:solidFill>
                          <a:sysClr val="windowText" lastClr="000000"/>
                        </a:solidFill>
                      </a:rPr>
                      <a:t>, </a:t>
                    </a:r>
                    <a:fld id="{82B21774-0DF2-4354-85F9-64EAEC3EFC24}" type="PERCENTAGE">
                      <a:rPr lang="en-US" sz="1200" baseline="0">
                        <a:solidFill>
                          <a:sysClr val="windowText" lastClr="000000"/>
                        </a:solidFill>
                      </a:rPr>
                      <a:pPr/>
                      <a:t>[PERCENTAGE]</a:t>
                    </a:fld>
                    <a:endParaRPr lang="en-US" sz="1200" baseline="0">
                      <a:solidFill>
                        <a:sysClr val="windowText" lastClr="000000"/>
                      </a:solidFill>
                    </a:endParaRPr>
                  </a:p>
                </c:rich>
              </c:tx>
              <c:dLblPos val="inEnd"/>
              <c:showLegendKey val="0"/>
              <c:showVal val="0"/>
              <c:showCatName val="1"/>
              <c:showSerName val="0"/>
              <c:showPercent val="1"/>
              <c:showBubbleSize val="0"/>
              <c:extLst>
                <c:ext xmlns:c15="http://schemas.microsoft.com/office/drawing/2012/chart" uri="{CE6537A1-D6FC-4f65-9D91-7224C49458BB}">
                  <c15:layout>
                    <c:manualLayout>
                      <c:w val="0.13076252723311546"/>
                      <c:h val="0.18080085185081401"/>
                    </c:manualLayout>
                  </c15:layout>
                  <c15:dlblFieldTable/>
                  <c15:showDataLabelsRange val="0"/>
                </c:ext>
                <c:ext xmlns:c16="http://schemas.microsoft.com/office/drawing/2014/chart" uri="{C3380CC4-5D6E-409C-BE32-E72D297353CC}">
                  <c16:uniqueId val="{00000009-DAC7-4476-88B7-1723D7775C53}"/>
                </c:ext>
              </c:extLst>
            </c:dLbl>
            <c:dLbl>
              <c:idx val="5"/>
              <c:tx>
                <c:rich>
                  <a:bodyPr/>
                  <a:lstStyle/>
                  <a:p>
                    <a:fld id="{D1B6DABF-B277-4DA3-A90F-46F97C6B6B6E}" type="CATEGORYNAME">
                      <a:rPr lang="en-US">
                        <a:solidFill>
                          <a:sysClr val="windowText" lastClr="000000"/>
                        </a:solidFill>
                      </a:rPr>
                      <a:pPr/>
                      <a:t>[CATEGORY NAME]</a:t>
                    </a:fld>
                    <a:r>
                      <a:rPr lang="en-US" baseline="0">
                        <a:solidFill>
                          <a:sysClr val="windowText" lastClr="000000"/>
                        </a:solidFill>
                      </a:rPr>
                      <a:t>, </a:t>
                    </a:r>
                    <a:fld id="{59566533-FA92-45F6-8681-B2246DF0AE3A}" type="PERCENTAGE">
                      <a:rPr lang="en-US" baseline="0">
                        <a:solidFill>
                          <a:sysClr val="windowText" lastClr="000000"/>
                        </a:solidFill>
                      </a:rPr>
                      <a:pPr/>
                      <a:t>[PERCENTAGE]</a:t>
                    </a:fld>
                    <a:endParaRPr lang="en-US" baseline="0">
                      <a:solidFill>
                        <a:sysClr val="windowText" lastClr="000000"/>
                      </a:solidFill>
                    </a:endParaRPr>
                  </a:p>
                </c:rich>
              </c:tx>
              <c:dLblPos val="inEnd"/>
              <c:showLegendKey val="0"/>
              <c:showVal val="0"/>
              <c:showCatName val="1"/>
              <c:showSerName val="0"/>
              <c:showPercent val="1"/>
              <c:showBubbleSize val="0"/>
              <c:extLst>
                <c:ext xmlns:c15="http://schemas.microsoft.com/office/drawing/2012/chart" uri="{CE6537A1-D6FC-4f65-9D91-7224C49458BB}">
                  <c15:layout>
                    <c:manualLayout>
                      <c:w val="0.13620309050772628"/>
                      <c:h val="0.10791131371736426"/>
                    </c:manualLayout>
                  </c15:layout>
                  <c15:dlblFieldTable/>
                  <c15:showDataLabelsRange val="0"/>
                </c:ext>
                <c:ext xmlns:c16="http://schemas.microsoft.com/office/drawing/2014/chart" uri="{C3380CC4-5D6E-409C-BE32-E72D297353CC}">
                  <c16:uniqueId val="{0000000B-DAC7-4476-88B7-1723D7775C53}"/>
                </c:ext>
              </c:extLst>
            </c:dLbl>
            <c:numFmt formatCode="0%" sourceLinked="0"/>
            <c:spPr>
              <a:noFill/>
              <a:ln w="25400">
                <a:noFill/>
              </a:ln>
            </c:spPr>
            <c:txPr>
              <a:bodyPr/>
              <a:lstStyle/>
              <a:p>
                <a:pPr>
                  <a:defRPr sz="1200" b="1" i="0" u="none" strike="noStrike" baseline="0">
                    <a:solidFill>
                      <a:schemeClr val="bg1"/>
                    </a:solidFill>
                    <a:latin typeface="Arial"/>
                    <a:ea typeface="Arial"/>
                    <a:cs typeface="Arial"/>
                  </a:defRPr>
                </a:pPr>
                <a:endParaRPr lang="en-US"/>
              </a:p>
            </c:txPr>
            <c:dLblPos val="inEnd"/>
            <c:showLegendKey val="0"/>
            <c:showVal val="1"/>
            <c:showCatName val="1"/>
            <c:showSerName val="0"/>
            <c:showPercent val="1"/>
            <c:showBubbleSize val="0"/>
            <c:showLeaderLines val="1"/>
            <c:extLst>
              <c:ext xmlns:c15="http://schemas.microsoft.com/office/drawing/2012/chart" uri="{CE6537A1-D6FC-4f65-9D91-7224C49458BB}"/>
            </c:extLst>
          </c:dLbls>
          <c:cat>
            <c:strRef>
              <c:f>('[17]2023 Joint Table A1 Pies - Elec'!$B$30:$B$31,'[17]2023 Joint Table A1 Pies - Elec'!$B$35:$B$38)</c:f>
              <c:strCache>
                <c:ptCount val="6"/>
                <c:pt idx="0">
                  <c:v>Res. Income-Eligible</c:v>
                </c:pt>
                <c:pt idx="1">
                  <c:v>Res. Non Income-Eligible</c:v>
                </c:pt>
                <c:pt idx="2">
                  <c:v>C&amp;I Q1</c:v>
                </c:pt>
                <c:pt idx="3">
                  <c:v>C&amp;I Q2</c:v>
                </c:pt>
                <c:pt idx="4">
                  <c:v>C&amp;I Q3</c:v>
                </c:pt>
                <c:pt idx="5">
                  <c:v>C&amp;I Q4</c:v>
                </c:pt>
              </c:strCache>
            </c:strRef>
          </c:cat>
          <c:val>
            <c:numRef>
              <c:f>('[17]2023 Joint Table A1 Pies - Elec'!$G$30:$G$31,'[17]2023 Joint Table A1 Pies - Elec'!$G$35:$G$38)</c:f>
              <c:numCache>
                <c:formatCode>General</c:formatCode>
                <c:ptCount val="6"/>
                <c:pt idx="0">
                  <c:v>0.12614</c:v>
                </c:pt>
                <c:pt idx="1">
                  <c:v>0.35416000000000003</c:v>
                </c:pt>
                <c:pt idx="2">
                  <c:v>0.12992499999999998</c:v>
                </c:pt>
                <c:pt idx="3">
                  <c:v>0.12992499999999998</c:v>
                </c:pt>
                <c:pt idx="4">
                  <c:v>0.12992499999999998</c:v>
                </c:pt>
                <c:pt idx="5">
                  <c:v>0.12992499999999998</c:v>
                </c:pt>
              </c:numCache>
            </c:numRef>
          </c:val>
          <c:extLst>
            <c:ext xmlns:c16="http://schemas.microsoft.com/office/drawing/2014/chart" uri="{C3380CC4-5D6E-409C-BE32-E72D297353CC}">
              <c16:uniqueId val="{0000000C-DAC7-4476-88B7-1723D7775C5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a:t>EE Revenue By Customer Class</a:t>
            </a:r>
          </a:p>
        </c:rich>
      </c:tx>
      <c:layout>
        <c:manualLayout>
          <c:xMode val="edge"/>
          <c:yMode val="edge"/>
          <c:x val="0.22270742358078602"/>
          <c:y val="3.6065573770491806E-2"/>
        </c:manualLayout>
      </c:layout>
      <c:overlay val="0"/>
      <c:spPr>
        <a:noFill/>
        <a:ln w="25400">
          <a:noFill/>
        </a:ln>
      </c:spPr>
    </c:title>
    <c:autoTitleDeleted val="0"/>
    <c:plotArea>
      <c:layout>
        <c:manualLayout>
          <c:layoutTarget val="inner"/>
          <c:xMode val="edge"/>
          <c:yMode val="edge"/>
          <c:x val="0.34497816593886466"/>
          <c:y val="0.3377049180327869"/>
          <c:w val="0.31877729257641924"/>
          <c:h val="0.478688524590163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176-4545-A8A3-38BEF32EC93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176-4545-A8A3-38BEF32EC93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A176-4545-A8A3-38BEF32EC93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A176-4545-A8A3-38BEF32EC93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A176-4545-A8A3-38BEF32EC935}"/>
              </c:ext>
            </c:extLst>
          </c:dPt>
          <c:dLbls>
            <c:dLbl>
              <c:idx val="0"/>
              <c:layout>
                <c:manualLayout>
                  <c:x val="0.12027507478595746"/>
                  <c:y val="5.58874402994707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176-4545-A8A3-38BEF32EC935}"/>
                </c:ext>
              </c:extLst>
            </c:dLbl>
            <c:dLbl>
              <c:idx val="1"/>
              <c:layout>
                <c:manualLayout>
                  <c:x val="6.31977443867551E-2"/>
                  <c:y val="5.3780474162041292E-2"/>
                </c:manualLayout>
              </c:layout>
              <c:tx>
                <c:rich>
                  <a:bodyPr/>
                  <a:lstStyle/>
                  <a:p>
                    <a:fld id="{22C3156E-B0EE-40B4-8E7F-EA8FC8229092}" type="CATEGORYNAME">
                      <a:rPr lang="en-US"/>
                      <a:pPr/>
                      <a:t>[CATEGORY NAME]</a:t>
                    </a:fld>
                    <a:r>
                      <a:rPr lang="en-US" baseline="0"/>
                      <a:t>
35%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6-4545-A8A3-38BEF32EC935}"/>
                </c:ext>
              </c:extLst>
            </c:dLbl>
            <c:dLbl>
              <c:idx val="2"/>
              <c:delete val="1"/>
              <c:extLst>
                <c:ext xmlns:c15="http://schemas.microsoft.com/office/drawing/2012/chart" uri="{CE6537A1-D6FC-4f65-9D91-7224C49458BB}"/>
                <c:ext xmlns:c16="http://schemas.microsoft.com/office/drawing/2014/chart" uri="{C3380CC4-5D6E-409C-BE32-E72D297353CC}">
                  <c16:uniqueId val="{00000004-A176-4545-A8A3-38BEF32EC935}"/>
                </c:ext>
              </c:extLst>
            </c:dLbl>
            <c:dLbl>
              <c:idx val="3"/>
              <c:layout>
                <c:manualLayout>
                  <c:x val="0.11633795229744753"/>
                  <c:y val="-2.0639731508971214E-2"/>
                </c:manualLayout>
              </c:layout>
              <c:tx>
                <c:rich>
                  <a:bodyPr/>
                  <a:lstStyle/>
                  <a:p>
                    <a:fld id="{4A858ECD-091C-416A-8946-CF3FC938E715}" type="CATEGORYNAME">
                      <a:rPr lang="en-US"/>
                      <a:pPr/>
                      <a:t>[CATEGORY NAME]</a:t>
                    </a:fld>
                    <a:r>
                      <a:rPr lang="en-US" baseline="0"/>
                      <a:t>
52%</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6-4545-A8A3-38BEF32EC935}"/>
                </c:ext>
              </c:extLst>
            </c:dLbl>
            <c:dLbl>
              <c:idx val="4"/>
              <c:delete val="1"/>
              <c:extLst>
                <c:ext xmlns:c15="http://schemas.microsoft.com/office/drawing/2012/chart" uri="{CE6537A1-D6FC-4f65-9D91-7224C49458BB}"/>
                <c:ext xmlns:c16="http://schemas.microsoft.com/office/drawing/2014/chart" uri="{C3380CC4-5D6E-409C-BE32-E72D297353CC}">
                  <c16:uniqueId val="{00000008-A176-4545-A8A3-38BEF32EC935}"/>
                </c:ext>
              </c:extLst>
            </c:dLbl>
            <c:dLbl>
              <c:idx val="5"/>
              <c:layout>
                <c:manualLayout>
                  <c:xMode val="edge"/>
                  <c:yMode val="edge"/>
                  <c:x val="0.32751091703056767"/>
                  <c:y val="9.50819672131147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76-4545-A8A3-38BEF32EC935}"/>
                </c:ext>
              </c:extLst>
            </c:dLbl>
            <c:dLbl>
              <c:idx val="6"/>
              <c:layout>
                <c:manualLayout>
                  <c:xMode val="edge"/>
                  <c:yMode val="edge"/>
                  <c:x val="0.45196506550218341"/>
                  <c:y val="0.15409836065573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176-4545-A8A3-38BEF32EC935}"/>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('2024 Joint Table A1 Pies '!$B$30:$B$31,'2024 Joint Table A1 Pies '!$B$33:$B$34)</c:f>
              <c:strCache>
                <c:ptCount val="4"/>
                <c:pt idx="0">
                  <c:v>Res. Income-Eligible</c:v>
                </c:pt>
                <c:pt idx="1">
                  <c:v>Res. Non Income-Eligible</c:v>
                </c:pt>
                <c:pt idx="3">
                  <c:v>C&amp;I </c:v>
                </c:pt>
              </c:strCache>
            </c:strRef>
          </c:cat>
          <c:val>
            <c:numRef>
              <c:f>('2024 Joint Table A1 Pies '!$G$30:$G$31,'2024 Joint Table A1 Pies '!$G$33:$G$34)</c:f>
              <c:numCache>
                <c:formatCode>0%</c:formatCode>
                <c:ptCount val="4"/>
                <c:pt idx="0">
                  <c:v>0.12614</c:v>
                </c:pt>
                <c:pt idx="1">
                  <c:v>0.35880000000000001</c:v>
                </c:pt>
                <c:pt idx="3">
                  <c:v>0.51505999999999996</c:v>
                </c:pt>
              </c:numCache>
            </c:numRef>
          </c:val>
          <c:extLst>
            <c:ext xmlns:c16="http://schemas.microsoft.com/office/drawing/2014/chart" uri="{C3380CC4-5D6E-409C-BE32-E72D297353CC}">
              <c16:uniqueId val="{0000000B-A176-4545-A8A3-38BEF32EC93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aseline="0"/>
              <a:t>EE Budget By Customer Class</a:t>
            </a:r>
          </a:p>
        </c:rich>
      </c:tx>
      <c:layout>
        <c:manualLayout>
          <c:xMode val="edge"/>
          <c:yMode val="edge"/>
          <c:x val="0.23750026246719158"/>
          <c:y val="3.6065573770491806E-2"/>
        </c:manualLayout>
      </c:layout>
      <c:overlay val="0"/>
      <c:spPr>
        <a:noFill/>
        <a:ln w="25400">
          <a:noFill/>
        </a:ln>
      </c:spPr>
    </c:title>
    <c:autoTitleDeleted val="0"/>
    <c:plotArea>
      <c:layout>
        <c:manualLayout>
          <c:layoutTarget val="inner"/>
          <c:xMode val="edge"/>
          <c:yMode val="edge"/>
          <c:x val="0.32000039062547686"/>
          <c:y val="0.33442622950819673"/>
          <c:w val="0.35500043335013837"/>
          <c:h val="0.4655737704918032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FFD-4DCA-9E15-F7ECF3CDEFC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FFD-4DCA-9E15-F7ECF3CDEFC8}"/>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4-1FFD-4DCA-9E15-F7ECF3CDEFC8}"/>
              </c:ext>
            </c:extLst>
          </c:dPt>
          <c:dLbls>
            <c:dLbl>
              <c:idx val="0"/>
              <c:layout>
                <c:manualLayout>
                  <c:x val="0.14662460225588966"/>
                  <c:y val="3.0212815754718559E-2"/>
                </c:manualLayout>
              </c:layout>
              <c:tx>
                <c:rich>
                  <a:bodyPr/>
                  <a:lstStyle/>
                  <a:p>
                    <a:fld id="{8822EB7E-C648-4171-B0D3-7C983AD4ABCE}"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FFD-4DCA-9E15-F7ECF3CDEFC8}"/>
                </c:ext>
              </c:extLst>
            </c:dLbl>
            <c:dLbl>
              <c:idx val="1"/>
              <c:layout>
                <c:manualLayout>
                  <c:x val="3.7081456335144411E-2"/>
                  <c:y val="1.108523729615765E-2"/>
                </c:manualLayout>
              </c:layout>
              <c:tx>
                <c:rich>
                  <a:bodyPr/>
                  <a:lstStyle/>
                  <a:p>
                    <a:fld id="{1718E016-86BA-43BC-BD8A-9F47BC524436}" type="CATEGORYNAME">
                      <a:rPr lang="en-US"/>
                      <a:pPr/>
                      <a:t>[CATEGORY NAME]</a:t>
                    </a:fld>
                    <a:r>
                      <a:rPr lang="en-US" baseline="0"/>
                      <a:t>
35%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FFD-4DCA-9E15-F7ECF3CDEFC8}"/>
                </c:ext>
              </c:extLst>
            </c:dLbl>
            <c:dLbl>
              <c:idx val="2"/>
              <c:layout>
                <c:manualLayout>
                  <c:x val="0.12085721784776902"/>
                  <c:y val="-3.9431005550535692E-2"/>
                </c:manualLayout>
              </c:layout>
              <c:tx>
                <c:rich>
                  <a:bodyPr/>
                  <a:lstStyle/>
                  <a:p>
                    <a:fld id="{9957FE6D-A65B-4EB1-B188-1BC7AAF622D6}" type="CATEGORYNAME">
                      <a:rPr lang="en-US"/>
                      <a:pPr/>
                      <a:t>[CATEGORY NAME]</a:t>
                    </a:fld>
                    <a:r>
                      <a:rPr lang="en-US" baseline="0"/>
                      <a:t>
51%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FFD-4DCA-9E15-F7ECF3CDEFC8}"/>
                </c:ext>
              </c:extLst>
            </c:dLbl>
            <c:dLbl>
              <c:idx val="3"/>
              <c:layout>
                <c:manualLayout>
                  <c:xMode val="edge"/>
                  <c:yMode val="edge"/>
                  <c:x val="0.20000024414092302"/>
                  <c:y val="0.5540983606557377"/>
                </c:manualLayout>
              </c:layout>
              <c:tx>
                <c:rich>
                  <a:bodyPr/>
                  <a:lstStyle/>
                  <a:p>
                    <a:r>
                      <a:t>C&amp;I
59.0%</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FFD-4DCA-9E15-F7ECF3CDEFC8}"/>
                </c:ext>
              </c:extLst>
            </c:dLbl>
            <c:dLbl>
              <c:idx val="5"/>
              <c:layout>
                <c:manualLayout>
                  <c:xMode val="edge"/>
                  <c:yMode val="edge"/>
                  <c:x val="0.43000052490298452"/>
                  <c:y val="0.177049180327868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FFD-4DCA-9E15-F7ECF3CDEFC8}"/>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('2024 Joint Table A1 Pies '!$B$30:$B$31,'2024 Joint Table A1 Pies '!$B$34)</c:f>
              <c:strCache>
                <c:ptCount val="3"/>
                <c:pt idx="0">
                  <c:v>Res. Income-Eligible</c:v>
                </c:pt>
                <c:pt idx="1">
                  <c:v>Res. Non Income-Eligible</c:v>
                </c:pt>
                <c:pt idx="2">
                  <c:v>C&amp;I </c:v>
                </c:pt>
              </c:strCache>
            </c:strRef>
          </c:cat>
          <c:val>
            <c:numRef>
              <c:f>('2024 Joint Table A1 Pies '!$F$30:$F$31,'2024 Joint Table A1 Pies '!$F$34)</c:f>
              <c:numCache>
                <c:formatCode>0%</c:formatCode>
                <c:ptCount val="3"/>
                <c:pt idx="0">
                  <c:v>0.13683307527596805</c:v>
                </c:pt>
                <c:pt idx="1">
                  <c:v>0.34882015091005913</c:v>
                </c:pt>
                <c:pt idx="2">
                  <c:v>0.51434677381397287</c:v>
                </c:pt>
              </c:numCache>
            </c:numRef>
          </c:val>
          <c:extLst>
            <c:ext xmlns:c16="http://schemas.microsoft.com/office/drawing/2014/chart" uri="{C3380CC4-5D6E-409C-BE32-E72D297353CC}">
              <c16:uniqueId val="{00000007-1FFD-4DCA-9E15-F7ECF3CDEFC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a:t>EE Revenue By Customer Class</a:t>
            </a:r>
          </a:p>
        </c:rich>
      </c:tx>
      <c:layout>
        <c:manualLayout>
          <c:xMode val="edge"/>
          <c:yMode val="edge"/>
          <c:x val="0.20237990014094093"/>
          <c:y val="3.9799570508231947E-3"/>
        </c:manualLayout>
      </c:layout>
      <c:overlay val="0"/>
      <c:spPr>
        <a:noFill/>
        <a:ln w="25400">
          <a:noFill/>
        </a:ln>
      </c:spPr>
    </c:title>
    <c:autoTitleDeleted val="0"/>
    <c:plotArea>
      <c:layout>
        <c:manualLayout>
          <c:layoutTarget val="inner"/>
          <c:xMode val="edge"/>
          <c:yMode val="edge"/>
          <c:x val="0.23528466056367461"/>
          <c:y val="0.21649276460763262"/>
          <c:w val="0.4478195956730705"/>
          <c:h val="0.70685249905259173"/>
        </c:manualLayout>
      </c:layout>
      <c:pieChart>
        <c:varyColors val="1"/>
        <c:ser>
          <c:idx val="0"/>
          <c:order val="0"/>
          <c:spPr>
            <a:solidFill>
              <a:srgbClr val="9999FF"/>
            </a:solidFill>
            <a:ln w="12700">
              <a:solidFill>
                <a:srgbClr val="000000"/>
              </a:solidFill>
              <a:prstDash val="solid"/>
            </a:ln>
          </c:spPr>
          <c:dPt>
            <c:idx val="0"/>
            <c:bubble3D val="0"/>
            <c:explosion val="6"/>
            <c:spPr>
              <a:solidFill>
                <a:schemeClr val="accent1"/>
              </a:solidFill>
              <a:ln w="12700">
                <a:solidFill>
                  <a:srgbClr val="000000"/>
                </a:solidFill>
                <a:prstDash val="solid"/>
              </a:ln>
            </c:spPr>
            <c:extLst>
              <c:ext xmlns:c16="http://schemas.microsoft.com/office/drawing/2014/chart" uri="{C3380CC4-5D6E-409C-BE32-E72D297353CC}">
                <c16:uniqueId val="{00000001-A61C-4BD0-8D2D-8D76A038C562}"/>
              </c:ext>
            </c:extLst>
          </c:dPt>
          <c:dPt>
            <c:idx val="1"/>
            <c:bubble3D val="0"/>
            <c:explosion val="7"/>
            <c:spPr>
              <a:solidFill>
                <a:schemeClr val="tx2"/>
              </a:solidFill>
              <a:ln w="12700">
                <a:solidFill>
                  <a:srgbClr val="000000"/>
                </a:solidFill>
                <a:prstDash val="solid"/>
              </a:ln>
            </c:spPr>
            <c:extLst>
              <c:ext xmlns:c16="http://schemas.microsoft.com/office/drawing/2014/chart" uri="{C3380CC4-5D6E-409C-BE32-E72D297353CC}">
                <c16:uniqueId val="{00000003-A61C-4BD0-8D2D-8D76A038C56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A61C-4BD0-8D2D-8D76A038C562}"/>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7-A61C-4BD0-8D2D-8D76A038C56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A61C-4BD0-8D2D-8D76A038C562}"/>
              </c:ext>
            </c:extLst>
          </c:dPt>
          <c:dLbls>
            <c:dLbl>
              <c:idx val="0"/>
              <c:layout>
                <c:manualLayout>
                  <c:x val="9.0913181306882099E-2"/>
                  <c:y val="0.101845411034850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61C-4BD0-8D2D-8D76A038C562}"/>
                </c:ext>
              </c:extLst>
            </c:dLbl>
            <c:dLbl>
              <c:idx val="1"/>
              <c:layout>
                <c:manualLayout>
                  <c:x val="1.576688289457889E-2"/>
                  <c:y val="-0.14942804609316884"/>
                </c:manualLayout>
              </c:layout>
              <c:tx>
                <c:rich>
                  <a:bodyPr/>
                  <a:lstStyle/>
                  <a:p>
                    <a:fld id="{22C3156E-B0EE-40B4-8E7F-EA8FC8229092}" type="CATEGORYNAME">
                      <a:rPr lang="en-US"/>
                      <a:pPr/>
                      <a:t>[CATEGORY NAME]</a:t>
                    </a:fld>
                    <a:r>
                      <a:rPr lang="en-US" baseline="0"/>
                      <a:t>
35%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61C-4BD0-8D2D-8D76A038C562}"/>
                </c:ext>
              </c:extLst>
            </c:dLbl>
            <c:dLbl>
              <c:idx val="2"/>
              <c:delete val="1"/>
              <c:extLst>
                <c:ext xmlns:c15="http://schemas.microsoft.com/office/drawing/2012/chart" uri="{CE6537A1-D6FC-4f65-9D91-7224C49458BB}"/>
                <c:ext xmlns:c16="http://schemas.microsoft.com/office/drawing/2014/chart" uri="{C3380CC4-5D6E-409C-BE32-E72D297353CC}">
                  <c16:uniqueId val="{00000005-A61C-4BD0-8D2D-8D76A038C562}"/>
                </c:ext>
              </c:extLst>
            </c:dLbl>
            <c:dLbl>
              <c:idx val="3"/>
              <c:layout>
                <c:manualLayout>
                  <c:x val="-2.1437241293454919E-2"/>
                  <c:y val="-0.13828680505845867"/>
                </c:manualLayout>
              </c:layout>
              <c:tx>
                <c:rich>
                  <a:bodyPr/>
                  <a:lstStyle/>
                  <a:p>
                    <a:fld id="{4A858ECD-091C-416A-8946-CF3FC938E715}" type="CATEGORYNAME">
                      <a:rPr lang="en-US"/>
                      <a:pPr/>
                      <a:t>[CATEGORY NAME]</a:t>
                    </a:fld>
                    <a:r>
                      <a:rPr lang="en-US" baseline="0"/>
                      <a:t>
52%</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61C-4BD0-8D2D-8D76A038C562}"/>
                </c:ext>
              </c:extLst>
            </c:dLbl>
            <c:dLbl>
              <c:idx val="4"/>
              <c:delete val="1"/>
              <c:extLst>
                <c:ext xmlns:c15="http://schemas.microsoft.com/office/drawing/2012/chart" uri="{CE6537A1-D6FC-4f65-9D91-7224C49458BB}"/>
                <c:ext xmlns:c16="http://schemas.microsoft.com/office/drawing/2014/chart" uri="{C3380CC4-5D6E-409C-BE32-E72D297353CC}">
                  <c16:uniqueId val="{00000009-A61C-4BD0-8D2D-8D76A038C562}"/>
                </c:ext>
              </c:extLst>
            </c:dLbl>
            <c:dLbl>
              <c:idx val="5"/>
              <c:layout>
                <c:manualLayout>
                  <c:xMode val="edge"/>
                  <c:yMode val="edge"/>
                  <c:x val="0.32751091703056767"/>
                  <c:y val="9.50819672131147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61C-4BD0-8D2D-8D76A038C562}"/>
                </c:ext>
              </c:extLst>
            </c:dLbl>
            <c:dLbl>
              <c:idx val="6"/>
              <c:layout>
                <c:manualLayout>
                  <c:xMode val="edge"/>
                  <c:yMode val="edge"/>
                  <c:x val="0.45196506550218341"/>
                  <c:y val="0.15409836065573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61C-4BD0-8D2D-8D76A038C562}"/>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('[17]2024 Joint Table A1 Pies -Elec '!$B$30:$B$31,'[17]2024 Joint Table A1 Pies -Elec '!$B$33:$B$34)</c:f>
              <c:strCache>
                <c:ptCount val="4"/>
                <c:pt idx="0">
                  <c:v>Res. Income-Eligible</c:v>
                </c:pt>
                <c:pt idx="1">
                  <c:v>Res. Non Income-Eligible</c:v>
                </c:pt>
                <c:pt idx="3">
                  <c:v>C&amp;I </c:v>
                </c:pt>
              </c:strCache>
            </c:strRef>
          </c:cat>
          <c:val>
            <c:numRef>
              <c:f>('[17]2024 Joint Table A1 Pies -Elec '!$G$30:$G$31,'[17]2024 Joint Table A1 Pies -Elec '!$G$33:$G$34)</c:f>
              <c:numCache>
                <c:formatCode>General</c:formatCode>
                <c:ptCount val="4"/>
                <c:pt idx="0">
                  <c:v>0.12614</c:v>
                </c:pt>
                <c:pt idx="1">
                  <c:v>0.35880000000000001</c:v>
                </c:pt>
                <c:pt idx="3">
                  <c:v>0.51505999999999996</c:v>
                </c:pt>
              </c:numCache>
            </c:numRef>
          </c:val>
          <c:extLst>
            <c:ext xmlns:c16="http://schemas.microsoft.com/office/drawing/2014/chart" uri="{C3380CC4-5D6E-409C-BE32-E72D297353CC}">
              <c16:uniqueId val="{0000000C-A61C-4BD0-8D2D-8D76A038C56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baseline="0"/>
              <a:t>EE Budget By Customer Class</a:t>
            </a:r>
          </a:p>
        </c:rich>
      </c:tx>
      <c:layout>
        <c:manualLayout>
          <c:xMode val="edge"/>
          <c:yMode val="edge"/>
          <c:x val="0.22026950938824955"/>
          <c:y val="3.6040129789907931E-3"/>
        </c:manualLayout>
      </c:layout>
      <c:overlay val="0"/>
      <c:spPr>
        <a:noFill/>
        <a:ln w="25400">
          <a:noFill/>
        </a:ln>
      </c:spPr>
    </c:title>
    <c:autoTitleDeleted val="0"/>
    <c:plotArea>
      <c:layout>
        <c:manualLayout>
          <c:layoutTarget val="inner"/>
          <c:xMode val="edge"/>
          <c:yMode val="edge"/>
          <c:x val="0.19586325863113266"/>
          <c:y val="0.1468699189878091"/>
          <c:w val="0.58112077528770445"/>
          <c:h val="0.85150699715285816"/>
        </c:manualLayout>
      </c:layout>
      <c:pieChart>
        <c:varyColors val="1"/>
        <c:ser>
          <c:idx val="0"/>
          <c:order val="0"/>
          <c:spPr>
            <a:solidFill>
              <a:srgbClr val="9999FF"/>
            </a:solidFill>
            <a:ln w="12700">
              <a:solidFill>
                <a:srgbClr val="000000"/>
              </a:solidFill>
              <a:prstDash val="solid"/>
            </a:ln>
          </c:spPr>
          <c:dPt>
            <c:idx val="0"/>
            <c:bubble3D val="0"/>
            <c:explosion val="6"/>
            <c:spPr>
              <a:solidFill>
                <a:schemeClr val="accent1"/>
              </a:solidFill>
              <a:ln w="12700">
                <a:solidFill>
                  <a:srgbClr val="000000"/>
                </a:solidFill>
                <a:prstDash val="solid"/>
              </a:ln>
            </c:spPr>
            <c:extLst>
              <c:ext xmlns:c16="http://schemas.microsoft.com/office/drawing/2014/chart" uri="{C3380CC4-5D6E-409C-BE32-E72D297353CC}">
                <c16:uniqueId val="{00000001-A95D-4775-B828-98ABE7D69723}"/>
              </c:ext>
            </c:extLst>
          </c:dPt>
          <c:dPt>
            <c:idx val="1"/>
            <c:bubble3D val="0"/>
            <c:explosion val="2"/>
            <c:spPr>
              <a:solidFill>
                <a:schemeClr val="tx2"/>
              </a:solidFill>
              <a:ln w="12700">
                <a:solidFill>
                  <a:srgbClr val="000000"/>
                </a:solidFill>
                <a:prstDash val="solid"/>
              </a:ln>
            </c:spPr>
            <c:extLst>
              <c:ext xmlns:c16="http://schemas.microsoft.com/office/drawing/2014/chart" uri="{C3380CC4-5D6E-409C-BE32-E72D297353CC}">
                <c16:uniqueId val="{00000003-A95D-4775-B828-98ABE7D69723}"/>
              </c:ext>
            </c:extLst>
          </c:dPt>
          <c:dPt>
            <c:idx val="2"/>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5-A95D-4775-B828-98ABE7D69723}"/>
              </c:ext>
            </c:extLst>
          </c:dPt>
          <c:dLbls>
            <c:dLbl>
              <c:idx val="0"/>
              <c:layout>
                <c:manualLayout>
                  <c:x val="0.12200915808600848"/>
                  <c:y val="0.1672733469181997"/>
                </c:manualLayout>
              </c:layout>
              <c:tx>
                <c:rich>
                  <a:bodyPr/>
                  <a:lstStyle/>
                  <a:p>
                    <a:fld id="{8822EB7E-C648-4171-B0D3-7C983AD4ABCE}"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95D-4775-B828-98ABE7D69723}"/>
                </c:ext>
              </c:extLst>
            </c:dLbl>
            <c:dLbl>
              <c:idx val="1"/>
              <c:layout>
                <c:manualLayout>
                  <c:x val="3.7081456335144411E-2"/>
                  <c:y val="1.108523729615765E-2"/>
                </c:manualLayout>
              </c:layout>
              <c:tx>
                <c:rich>
                  <a:bodyPr/>
                  <a:lstStyle/>
                  <a:p>
                    <a:fld id="{1718E016-86BA-43BC-BD8A-9F47BC524436}" type="CATEGORYNAME">
                      <a:rPr lang="en-US"/>
                      <a:pPr/>
                      <a:t>[CATEGORY NAME]</a:t>
                    </a:fld>
                    <a:r>
                      <a:rPr lang="en-US" baseline="0"/>
                      <a:t>
35%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95D-4775-B828-98ABE7D69723}"/>
                </c:ext>
              </c:extLst>
            </c:dLbl>
            <c:dLbl>
              <c:idx val="2"/>
              <c:layout>
                <c:manualLayout>
                  <c:x val="2.4188976377952757E-4"/>
                  <c:y val="-0.11156820005254077"/>
                </c:manualLayout>
              </c:layout>
              <c:tx>
                <c:rich>
                  <a:bodyPr/>
                  <a:lstStyle/>
                  <a:p>
                    <a:fld id="{9957FE6D-A65B-4EB1-B188-1BC7AAF622D6}" type="CATEGORYNAME">
                      <a:rPr lang="en-US"/>
                      <a:pPr/>
                      <a:t>[CATEGORY NAME]</a:t>
                    </a:fld>
                    <a:r>
                      <a:rPr lang="en-US" baseline="0"/>
                      <a:t>
51%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95D-4775-B828-98ABE7D69723}"/>
                </c:ext>
              </c:extLst>
            </c:dLbl>
            <c:dLbl>
              <c:idx val="3"/>
              <c:layout>
                <c:manualLayout>
                  <c:xMode val="edge"/>
                  <c:yMode val="edge"/>
                  <c:x val="0.20000024414092302"/>
                  <c:y val="0.5540983606557377"/>
                </c:manualLayout>
              </c:layout>
              <c:tx>
                <c:rich>
                  <a:bodyPr/>
                  <a:lstStyle/>
                  <a:p>
                    <a:r>
                      <a:t>C&amp;I
59.0%</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95D-4775-B828-98ABE7D69723}"/>
                </c:ext>
              </c:extLst>
            </c:dLbl>
            <c:dLbl>
              <c:idx val="5"/>
              <c:layout>
                <c:manualLayout>
                  <c:xMode val="edge"/>
                  <c:yMode val="edge"/>
                  <c:x val="0.43000052490298452"/>
                  <c:y val="0.177049180327868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95D-4775-B828-98ABE7D69723}"/>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('[17]2024 Joint Table A1 Pies -Elec '!$B$30:$B$31,'[17]2024 Joint Table A1 Pies -Elec '!$B$34)</c:f>
              <c:strCache>
                <c:ptCount val="3"/>
                <c:pt idx="0">
                  <c:v>Res. Income-Eligible</c:v>
                </c:pt>
                <c:pt idx="1">
                  <c:v>Res. Non Income-Eligible</c:v>
                </c:pt>
                <c:pt idx="2">
                  <c:v>C&amp;I </c:v>
                </c:pt>
              </c:strCache>
            </c:strRef>
          </c:cat>
          <c:val>
            <c:numRef>
              <c:f>('[17]2024 Joint Table A1 Pies -Elec '!$F$30:$F$31,'[17]2024 Joint Table A1 Pies -Elec '!$F$34)</c:f>
              <c:numCache>
                <c:formatCode>General</c:formatCode>
                <c:ptCount val="3"/>
                <c:pt idx="0">
                  <c:v>0.135000020607348</c:v>
                </c:pt>
                <c:pt idx="1">
                  <c:v>0.35077788139855587</c:v>
                </c:pt>
                <c:pt idx="2">
                  <c:v>0.51422209799409602</c:v>
                </c:pt>
              </c:numCache>
            </c:numRef>
          </c:val>
          <c:extLst>
            <c:ext xmlns:c16="http://schemas.microsoft.com/office/drawing/2014/chart" uri="{C3380CC4-5D6E-409C-BE32-E72D297353CC}">
              <c16:uniqueId val="{00000008-A95D-4775-B828-98ABE7D6972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baseline="0"/>
              <a:t>EE Budget By Customer Class</a:t>
            </a:r>
          </a:p>
        </c:rich>
      </c:tx>
      <c:layout>
        <c:manualLayout>
          <c:xMode val="edge"/>
          <c:yMode val="edge"/>
          <c:x val="0.22026950938824955"/>
          <c:y val="3.6040129789907931E-3"/>
        </c:manualLayout>
      </c:layout>
      <c:overlay val="0"/>
      <c:spPr>
        <a:noFill/>
        <a:ln w="25400">
          <a:noFill/>
        </a:ln>
      </c:spPr>
    </c:title>
    <c:autoTitleDeleted val="0"/>
    <c:plotArea>
      <c:layout>
        <c:manualLayout>
          <c:layoutTarget val="inner"/>
          <c:xMode val="edge"/>
          <c:yMode val="edge"/>
          <c:x val="0.18661567462965434"/>
          <c:y val="9.2032646200123844E-2"/>
          <c:w val="0.68694147871346589"/>
          <c:h val="0.90796735379987614"/>
        </c:manualLayout>
      </c:layout>
      <c:pieChart>
        <c:varyColors val="1"/>
        <c:ser>
          <c:idx val="0"/>
          <c:order val="0"/>
          <c:spPr>
            <a:solidFill>
              <a:srgbClr val="9999FF"/>
            </a:solidFill>
            <a:ln w="12700">
              <a:solidFill>
                <a:srgbClr val="000000"/>
              </a:solidFill>
              <a:prstDash val="solid"/>
            </a:ln>
          </c:spPr>
          <c:explosion val="3"/>
          <c:dPt>
            <c:idx val="0"/>
            <c:bubble3D val="0"/>
            <c:spPr>
              <a:solidFill>
                <a:schemeClr val="accent1"/>
              </a:solidFill>
              <a:ln w="12700">
                <a:solidFill>
                  <a:srgbClr val="000000"/>
                </a:solidFill>
                <a:prstDash val="solid"/>
              </a:ln>
            </c:spPr>
            <c:extLst>
              <c:ext xmlns:c16="http://schemas.microsoft.com/office/drawing/2014/chart" uri="{C3380CC4-5D6E-409C-BE32-E72D297353CC}">
                <c16:uniqueId val="{00000001-0A07-4373-A1FC-F1B7240B8EA6}"/>
              </c:ext>
            </c:extLst>
          </c:dPt>
          <c:dPt>
            <c:idx val="1"/>
            <c:bubble3D val="0"/>
            <c:spPr>
              <a:solidFill>
                <a:schemeClr val="tx2"/>
              </a:solidFill>
              <a:ln w="12700">
                <a:solidFill>
                  <a:srgbClr val="000000"/>
                </a:solidFill>
                <a:prstDash val="solid"/>
              </a:ln>
            </c:spPr>
            <c:extLst>
              <c:ext xmlns:c16="http://schemas.microsoft.com/office/drawing/2014/chart" uri="{C3380CC4-5D6E-409C-BE32-E72D297353CC}">
                <c16:uniqueId val="{00000003-0A07-4373-A1FC-F1B7240B8EA6}"/>
              </c:ext>
            </c:extLst>
          </c:dPt>
          <c:dPt>
            <c:idx val="2"/>
            <c:bubble3D val="0"/>
            <c:spPr>
              <a:solidFill>
                <a:schemeClr val="accent6">
                  <a:lumMod val="50000"/>
                </a:schemeClr>
              </a:solidFill>
              <a:ln w="12700">
                <a:solidFill>
                  <a:srgbClr val="000000"/>
                </a:solidFill>
                <a:prstDash val="solid"/>
              </a:ln>
            </c:spPr>
            <c:extLst>
              <c:ext xmlns:c16="http://schemas.microsoft.com/office/drawing/2014/chart" uri="{C3380CC4-5D6E-409C-BE32-E72D297353CC}">
                <c16:uniqueId val="{00000005-0A07-4373-A1FC-F1B7240B8EA6}"/>
              </c:ext>
            </c:extLst>
          </c:dPt>
          <c:dPt>
            <c:idx val="3"/>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0A07-4373-A1FC-F1B7240B8EA6}"/>
              </c:ext>
            </c:extLst>
          </c:dPt>
          <c:dPt>
            <c:idx val="4"/>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9-0A07-4373-A1FC-F1B7240B8EA6}"/>
              </c:ext>
            </c:extLst>
          </c:dPt>
          <c:dPt>
            <c:idx val="5"/>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B-0A07-4373-A1FC-F1B7240B8EA6}"/>
              </c:ext>
            </c:extLst>
          </c:dPt>
          <c:dLbls>
            <c:dLbl>
              <c:idx val="0"/>
              <c:layout>
                <c:manualLayout>
                  <c:x val="-0.13390078400027211"/>
                  <c:y val="0.19275895200599927"/>
                </c:manualLayout>
              </c:layout>
              <c:tx>
                <c:rich>
                  <a:bodyPr/>
                  <a:lstStyle/>
                  <a:p>
                    <a:fld id="{8822EB7E-C648-4171-B0D3-7C983AD4ABCE}"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A07-4373-A1FC-F1B7240B8EA6}"/>
                </c:ext>
              </c:extLst>
            </c:dLbl>
            <c:dLbl>
              <c:idx val="1"/>
              <c:layout>
                <c:manualLayout>
                  <c:x val="-0.19105304331558987"/>
                  <c:y val="-0.12194811586051754"/>
                </c:manualLayout>
              </c:layout>
              <c:tx>
                <c:rich>
                  <a:bodyPr/>
                  <a:lstStyle/>
                  <a:p>
                    <a:fld id="{1718E016-86BA-43BC-BD8A-9F47BC524436}" type="CATEGORYNAME">
                      <a:rPr lang="en-US"/>
                      <a:pPr/>
                      <a:t>[CATEGORY NAME]</a:t>
                    </a:fld>
                    <a:r>
                      <a:rPr lang="en-US" baseline="0"/>
                      <a:t>
35%</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A07-4373-A1FC-F1B7240B8EA6}"/>
                </c:ext>
              </c:extLst>
            </c:dLbl>
            <c:dLbl>
              <c:idx val="2"/>
              <c:layout>
                <c:manualLayout>
                  <c:x val="8.0989609020254677E-2"/>
                  <c:y val="-0.1482562335958006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A07-4373-A1FC-F1B7240B8EA6}"/>
                </c:ext>
              </c:extLst>
            </c:dLbl>
            <c:dLbl>
              <c:idx val="3"/>
              <c:layout>
                <c:manualLayout>
                  <c:x val="0.15801848608016869"/>
                  <c:y val="-0.11572178477690288"/>
                </c:manualLayout>
              </c:layout>
              <c:tx>
                <c:rich>
                  <a:bodyPr/>
                  <a:lstStyle/>
                  <a:p>
                    <a:r>
                      <a:rPr lang="en-US"/>
                      <a:t>C&amp;I Q2
13%</a:t>
                    </a:r>
                  </a:p>
                </c:rich>
              </c:tx>
              <c:dLblPos val="bestFit"/>
              <c:showLegendKey val="0"/>
              <c:showVal val="0"/>
              <c:showCatName val="0"/>
              <c:showSerName val="0"/>
              <c:showPercent val="0"/>
              <c:showBubbleSize val="0"/>
              <c:extLst>
                <c:ext xmlns:c15="http://schemas.microsoft.com/office/drawing/2012/chart" uri="{CE6537A1-D6FC-4f65-9D91-7224C49458BB}">
                  <c15:layout>
                    <c:manualLayout>
                      <c:w val="0.12749460043196542"/>
                      <c:h val="0.11413461538461539"/>
                    </c:manualLayout>
                  </c15:layout>
                  <c15:showDataLabelsRange val="0"/>
                </c:ext>
                <c:ext xmlns:c16="http://schemas.microsoft.com/office/drawing/2014/chart" uri="{C3380CC4-5D6E-409C-BE32-E72D297353CC}">
                  <c16:uniqueId val="{00000007-0A07-4373-A1FC-F1B7240B8EA6}"/>
                </c:ext>
              </c:extLst>
            </c:dLbl>
            <c:dLbl>
              <c:idx val="4"/>
              <c:layout>
                <c:manualLayout>
                  <c:x val="0.14346235608237956"/>
                  <c:y val="5.3545884889388828E-2"/>
                </c:manualLayout>
              </c:layout>
              <c:tx>
                <c:rich>
                  <a:bodyPr/>
                  <a:lstStyle/>
                  <a:p>
                    <a:fld id="{67F75421-3098-4518-BDE2-15E94DBF9B11}" type="CATEGORYNAME">
                      <a:rPr lang="en-US">
                        <a:solidFill>
                          <a:sysClr val="windowText" lastClr="000000"/>
                        </a:solidFill>
                      </a:rPr>
                      <a:pPr/>
                      <a:t>[CATEGORY NAME]</a:t>
                    </a:fld>
                    <a:r>
                      <a:rPr lang="en-US" baseline="0">
                        <a:solidFill>
                          <a:sysClr val="windowText" lastClr="000000"/>
                        </a:solidFill>
                      </a:rPr>
                      <a:t>
</a:t>
                    </a:r>
                    <a:fld id="{2197BA7D-11BF-49D7-A712-A9B6B33C8077}" type="PERCENTAGE">
                      <a:rPr lang="en-US" baseline="0">
                        <a:solidFill>
                          <a:sysClr val="windowText" lastClr="000000"/>
                        </a:solidFill>
                      </a:rPr>
                      <a:pPr/>
                      <a:t>[PERCENTAGE]</a:t>
                    </a:fld>
                    <a:endParaRPr lang="en-US"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A07-4373-A1FC-F1B7240B8EA6}"/>
                </c:ext>
              </c:extLst>
            </c:dLbl>
            <c:dLbl>
              <c:idx val="5"/>
              <c:layout>
                <c:manualLayout>
                  <c:x val="8.3376983384636283E-2"/>
                  <c:y val="0.15192140044994371"/>
                </c:manualLayout>
              </c:layout>
              <c:tx>
                <c:rich>
                  <a:bodyPr/>
                  <a:lstStyle/>
                  <a:p>
                    <a:fld id="{2FF99136-9DBE-4A64-B1EA-AAB44A50AAFD}" type="CATEGORYNAME">
                      <a:rPr lang="en-US">
                        <a:solidFill>
                          <a:sysClr val="windowText" lastClr="000000"/>
                        </a:solidFill>
                      </a:rPr>
                      <a:pPr/>
                      <a:t>[CATEGORY NAME]</a:t>
                    </a:fld>
                    <a:r>
                      <a:rPr lang="en-US" baseline="0">
                        <a:solidFill>
                          <a:sysClr val="windowText" lastClr="000000"/>
                        </a:solidFill>
                      </a:rPr>
                      <a:t>
</a:t>
                    </a:r>
                    <a:fld id="{1582534A-1D3A-4EED-AEEA-1AB43BC27BFD}" type="PERCENTAGE">
                      <a:rPr lang="en-US" baseline="0">
                        <a:solidFill>
                          <a:sysClr val="windowText" lastClr="000000"/>
                        </a:solidFill>
                      </a:rPr>
                      <a:pPr/>
                      <a:t>[PERCENTAGE]</a:t>
                    </a:fld>
                    <a:endParaRPr lang="en-US"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A07-4373-A1FC-F1B7240B8EA6}"/>
                </c:ext>
              </c:extLst>
            </c:dLbl>
            <c:numFmt formatCode="0%" sourceLinked="0"/>
            <c:spPr>
              <a:noFill/>
              <a:ln w="25400">
                <a:noFill/>
              </a:ln>
            </c:spPr>
            <c:txPr>
              <a:bodyPr/>
              <a:lstStyle/>
              <a:p>
                <a:pPr>
                  <a:defRPr sz="1200" b="1" i="0" u="none" strike="noStrike" baseline="0">
                    <a:solidFill>
                      <a:schemeClr val="bg1"/>
                    </a:solidFill>
                    <a:latin typeface="Arial"/>
                    <a:ea typeface="Arial"/>
                    <a:cs typeface="Arial"/>
                  </a:defRPr>
                </a:pPr>
                <a:endParaRPr lang="en-US"/>
              </a:p>
            </c:txPr>
            <c:dLblPos val="inEnd"/>
            <c:showLegendKey val="0"/>
            <c:showVal val="0"/>
            <c:showCatName val="1"/>
            <c:showSerName val="0"/>
            <c:showPercent val="1"/>
            <c:showBubbleSize val="0"/>
            <c:showLeaderLines val="1"/>
            <c:extLst>
              <c:ext xmlns:c15="http://schemas.microsoft.com/office/drawing/2012/chart" uri="{CE6537A1-D6FC-4f65-9D91-7224C49458BB}"/>
            </c:extLst>
          </c:dLbls>
          <c:cat>
            <c:strRef>
              <c:f>('[17]2024 Joint Table A1 Pies -Elec '!$B$30:$B$31,'[17]2024 Joint Table A1 Pies -Elec '!$B$35:$B$38)</c:f>
              <c:strCache>
                <c:ptCount val="6"/>
                <c:pt idx="0">
                  <c:v>Res. Income-Eligible</c:v>
                </c:pt>
                <c:pt idx="1">
                  <c:v>Res. Non Income-Eligible</c:v>
                </c:pt>
                <c:pt idx="2">
                  <c:v>C&amp;I Q1</c:v>
                </c:pt>
                <c:pt idx="3">
                  <c:v>C&amp;I Q2</c:v>
                </c:pt>
                <c:pt idx="4">
                  <c:v>C&amp;I Q3</c:v>
                </c:pt>
                <c:pt idx="5">
                  <c:v>C&amp;I Q4</c:v>
                </c:pt>
              </c:strCache>
            </c:strRef>
          </c:cat>
          <c:val>
            <c:numRef>
              <c:f>('[17]2024 Joint Table A1 Pies -Elec '!$F$30:$F$31,'[17]2024 Joint Table A1 Pies -Elec '!$F$35:$F$38)</c:f>
              <c:numCache>
                <c:formatCode>General</c:formatCode>
                <c:ptCount val="6"/>
                <c:pt idx="0">
                  <c:v>0.135000020607348</c:v>
                </c:pt>
                <c:pt idx="1">
                  <c:v>0.35077788139855587</c:v>
                </c:pt>
                <c:pt idx="2">
                  <c:v>0.128555524498524</c:v>
                </c:pt>
                <c:pt idx="3">
                  <c:v>0.128555524498524</c:v>
                </c:pt>
                <c:pt idx="4">
                  <c:v>0.128555524498524</c:v>
                </c:pt>
                <c:pt idx="5">
                  <c:v>0.128555524498524</c:v>
                </c:pt>
              </c:numCache>
            </c:numRef>
          </c:val>
          <c:extLst>
            <c:ext xmlns:c16="http://schemas.microsoft.com/office/drawing/2014/chart" uri="{C3380CC4-5D6E-409C-BE32-E72D297353CC}">
              <c16:uniqueId val="{0000000C-0A07-4373-A1FC-F1B7240B8EA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a:t>EE Revenue By Customer Class</a:t>
            </a:r>
          </a:p>
        </c:rich>
      </c:tx>
      <c:layout>
        <c:manualLayout>
          <c:xMode val="edge"/>
          <c:yMode val="edge"/>
          <c:x val="0.20237990014094093"/>
          <c:y val="3.9799570508231947E-3"/>
        </c:manualLayout>
      </c:layout>
      <c:overlay val="0"/>
      <c:spPr>
        <a:noFill/>
        <a:ln w="25400">
          <a:noFill/>
        </a:ln>
      </c:spPr>
    </c:title>
    <c:autoTitleDeleted val="0"/>
    <c:plotArea>
      <c:layout>
        <c:manualLayout>
          <c:layoutTarget val="inner"/>
          <c:xMode val="edge"/>
          <c:yMode val="edge"/>
          <c:x val="0.18450367065638995"/>
          <c:y val="9.6447303843117171E-2"/>
          <c:w val="0.68864760033959815"/>
          <c:h val="0.88273798092311628"/>
        </c:manualLayout>
      </c:layout>
      <c:pieChart>
        <c:varyColors val="1"/>
        <c:ser>
          <c:idx val="0"/>
          <c:order val="0"/>
          <c:spPr>
            <a:solidFill>
              <a:srgbClr val="9999FF"/>
            </a:solidFill>
            <a:ln w="12700">
              <a:solidFill>
                <a:srgbClr val="000000"/>
              </a:solidFill>
              <a:prstDash val="solid"/>
            </a:ln>
          </c:spPr>
          <c:explosion val="3"/>
          <c:dPt>
            <c:idx val="0"/>
            <c:bubble3D val="0"/>
            <c:spPr>
              <a:solidFill>
                <a:schemeClr val="accent1"/>
              </a:solidFill>
              <a:ln w="12700">
                <a:solidFill>
                  <a:srgbClr val="000000"/>
                </a:solidFill>
                <a:prstDash val="solid"/>
              </a:ln>
            </c:spPr>
            <c:extLst>
              <c:ext xmlns:c16="http://schemas.microsoft.com/office/drawing/2014/chart" uri="{C3380CC4-5D6E-409C-BE32-E72D297353CC}">
                <c16:uniqueId val="{00000001-A8F4-4C1A-8B09-4C8C0824CBDF}"/>
              </c:ext>
            </c:extLst>
          </c:dPt>
          <c:dPt>
            <c:idx val="1"/>
            <c:bubble3D val="0"/>
            <c:spPr>
              <a:solidFill>
                <a:schemeClr val="tx2"/>
              </a:solidFill>
              <a:ln w="12700">
                <a:solidFill>
                  <a:srgbClr val="000000"/>
                </a:solidFill>
                <a:prstDash val="solid"/>
              </a:ln>
            </c:spPr>
            <c:extLst>
              <c:ext xmlns:c16="http://schemas.microsoft.com/office/drawing/2014/chart" uri="{C3380CC4-5D6E-409C-BE32-E72D297353CC}">
                <c16:uniqueId val="{00000003-A8F4-4C1A-8B09-4C8C0824CBDF}"/>
              </c:ext>
            </c:extLst>
          </c:dPt>
          <c:dPt>
            <c:idx val="2"/>
            <c:bubble3D val="0"/>
            <c:spPr>
              <a:solidFill>
                <a:schemeClr val="accent6">
                  <a:lumMod val="50000"/>
                </a:schemeClr>
              </a:solidFill>
              <a:ln w="12700">
                <a:solidFill>
                  <a:srgbClr val="000000"/>
                </a:solidFill>
                <a:prstDash val="solid"/>
              </a:ln>
            </c:spPr>
            <c:extLst>
              <c:ext xmlns:c16="http://schemas.microsoft.com/office/drawing/2014/chart" uri="{C3380CC4-5D6E-409C-BE32-E72D297353CC}">
                <c16:uniqueId val="{00000005-A8F4-4C1A-8B09-4C8C0824CBDF}"/>
              </c:ext>
            </c:extLst>
          </c:dPt>
          <c:dPt>
            <c:idx val="3"/>
            <c:bubble3D val="0"/>
            <c:spPr>
              <a:solidFill>
                <a:schemeClr val="accent6">
                  <a:lumMod val="75000"/>
                </a:schemeClr>
              </a:solidFill>
              <a:ln w="12700">
                <a:solidFill>
                  <a:srgbClr val="000000"/>
                </a:solidFill>
                <a:prstDash val="solid"/>
              </a:ln>
            </c:spPr>
            <c:extLst>
              <c:ext xmlns:c16="http://schemas.microsoft.com/office/drawing/2014/chart" uri="{C3380CC4-5D6E-409C-BE32-E72D297353CC}">
                <c16:uniqueId val="{00000007-A8F4-4C1A-8B09-4C8C0824CBDF}"/>
              </c:ext>
            </c:extLst>
          </c:dPt>
          <c:dPt>
            <c:idx val="4"/>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9-A8F4-4C1A-8B09-4C8C0824CBDF}"/>
              </c:ext>
            </c:extLst>
          </c:dPt>
          <c:dPt>
            <c:idx val="5"/>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B-A8F4-4C1A-8B09-4C8C0824CBDF}"/>
              </c:ext>
            </c:extLst>
          </c:dPt>
          <c:dLbls>
            <c:dLbl>
              <c:idx val="0"/>
              <c:layout>
                <c:manualLayout>
                  <c:x val="-0.13498809741805537"/>
                  <c:y val="0.20093271877600666"/>
                </c:manualLayout>
              </c:layout>
              <c:tx>
                <c:rich>
                  <a:bodyPr/>
                  <a:lstStyle/>
                  <a:p>
                    <a:fld id="{429700C6-2069-4843-ADE6-BBE6F6A77084}" type="CATEGORYNAME">
                      <a:rPr lang="en-US"/>
                      <a:pPr/>
                      <a:t>[CATEGORY NAME]</a:t>
                    </a:fld>
                    <a:r>
                      <a:rPr lang="en-US" baseline="0"/>
                      <a:t>
13%</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1706026202327246"/>
                      <c:h val="0.13933615005441394"/>
                    </c:manualLayout>
                  </c15:layout>
                  <c15:dlblFieldTable/>
                  <c15:showDataLabelsRange val="0"/>
                </c:ext>
                <c:ext xmlns:c16="http://schemas.microsoft.com/office/drawing/2014/chart" uri="{C3380CC4-5D6E-409C-BE32-E72D297353CC}">
                  <c16:uniqueId val="{00000001-A8F4-4C1A-8B09-4C8C0824CBDF}"/>
                </c:ext>
              </c:extLst>
            </c:dLbl>
            <c:dLbl>
              <c:idx val="1"/>
              <c:layout>
                <c:manualLayout>
                  <c:x val="-0.20875647150871468"/>
                  <c:y val="-0.1001981307214648"/>
                </c:manualLayout>
              </c:layout>
              <c:tx>
                <c:rich>
                  <a:bodyPr/>
                  <a:lstStyle/>
                  <a:p>
                    <a:fld id="{22C3156E-B0EE-40B4-8E7F-EA8FC8229092}" type="CATEGORYNAME">
                      <a:rPr lang="en-US"/>
                      <a:pPr/>
                      <a:t>[CATEGORY NAME]</a:t>
                    </a:fld>
                    <a:r>
                      <a:rPr lang="en-US" baseline="0"/>
                      <a:t>
36%</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14657327586206895"/>
                      <c:h val="0.19274390243902439"/>
                    </c:manualLayout>
                  </c15:layout>
                  <c15:dlblFieldTable/>
                  <c15:showDataLabelsRange val="0"/>
                </c:ext>
                <c:ext xmlns:c16="http://schemas.microsoft.com/office/drawing/2014/chart" uri="{C3380CC4-5D6E-409C-BE32-E72D297353CC}">
                  <c16:uniqueId val="{00000003-A8F4-4C1A-8B09-4C8C0824CBDF}"/>
                </c:ext>
              </c:extLst>
            </c:dLbl>
            <c:dLbl>
              <c:idx val="2"/>
              <c:layout>
                <c:manualLayout>
                  <c:x val="8.6515456709560276E-2"/>
                  <c:y val="-0.1819452446492969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F4-4C1A-8B09-4C8C0824CBDF}"/>
                </c:ext>
              </c:extLst>
            </c:dLbl>
            <c:dLbl>
              <c:idx val="3"/>
              <c:layout>
                <c:manualLayout>
                  <c:x val="0.16086181352066722"/>
                  <c:y val="-0.1110123124853295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8F4-4C1A-8B09-4C8C0824CBDF}"/>
                </c:ext>
              </c:extLst>
            </c:dLbl>
            <c:dLbl>
              <c:idx val="4"/>
              <c:layout>
                <c:manualLayout>
                  <c:x val="0.14716651961845151"/>
                  <c:y val="6.6664959562981463E-2"/>
                </c:manualLayout>
              </c:layout>
              <c:numFmt formatCode="0%" sourceLinked="0"/>
              <c:spPr>
                <a:noFill/>
                <a:ln w="25400">
                  <a:noFill/>
                </a:ln>
              </c:spPr>
              <c:txPr>
                <a:bodyPr/>
                <a:lstStyle/>
                <a:p>
                  <a:pPr>
                    <a:defRPr sz="1200" b="1" i="0" u="none" strike="noStrike" baseline="0">
                      <a:solidFill>
                        <a:sysClr val="windowText" lastClr="000000"/>
                      </a:solidFill>
                      <a:latin typeface="Arial"/>
                      <a:ea typeface="Arial"/>
                      <a:cs typeface="Aria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F4-4C1A-8B09-4C8C0824CBDF}"/>
                </c:ext>
              </c:extLst>
            </c:dLbl>
            <c:dLbl>
              <c:idx val="5"/>
              <c:layout>
                <c:manualLayout>
                  <c:x val="8.7817915466697746E-2"/>
                  <c:y val="0.17592898448669522"/>
                </c:manualLayout>
              </c:layout>
              <c:numFmt formatCode="0%" sourceLinked="0"/>
              <c:spPr>
                <a:noFill/>
                <a:ln w="25400">
                  <a:noFill/>
                </a:ln>
              </c:spPr>
              <c:txPr>
                <a:bodyPr/>
                <a:lstStyle/>
                <a:p>
                  <a:pPr>
                    <a:defRPr sz="1200" b="1" i="0" u="none" strike="noStrike" baseline="0">
                      <a:solidFill>
                        <a:sysClr val="windowText" lastClr="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8F4-4C1A-8B09-4C8C0824CBDF}"/>
                </c:ext>
              </c:extLst>
            </c:dLbl>
            <c:numFmt formatCode="0%" sourceLinked="0"/>
            <c:spPr>
              <a:noFill/>
              <a:ln w="25400">
                <a:noFill/>
              </a:ln>
            </c:spPr>
            <c:txPr>
              <a:bodyPr/>
              <a:lstStyle/>
              <a:p>
                <a:pPr>
                  <a:defRPr sz="1200" b="1" i="0" u="none" strike="noStrike" baseline="0">
                    <a:solidFill>
                      <a:schemeClr val="bg1"/>
                    </a:solidFill>
                    <a:latin typeface="Arial"/>
                    <a:ea typeface="Arial"/>
                    <a:cs typeface="Arial"/>
                  </a:defRPr>
                </a:pPr>
                <a:endParaRPr lang="en-US"/>
              </a:p>
            </c:txPr>
            <c:dLblPos val="inEnd"/>
            <c:showLegendKey val="0"/>
            <c:showVal val="0"/>
            <c:showCatName val="1"/>
            <c:showSerName val="0"/>
            <c:showPercent val="1"/>
            <c:showBubbleSize val="0"/>
            <c:showLeaderLines val="1"/>
            <c:extLst>
              <c:ext xmlns:c15="http://schemas.microsoft.com/office/drawing/2012/chart" uri="{CE6537A1-D6FC-4f65-9D91-7224C49458BB}"/>
            </c:extLst>
          </c:dLbls>
          <c:cat>
            <c:strRef>
              <c:f>('[17]2024 Joint Table A1 Pies -Elec '!$B$30:$B$31,'[17]2024 Joint Table A1 Pies -Elec '!$B$35:$B$38)</c:f>
              <c:strCache>
                <c:ptCount val="6"/>
                <c:pt idx="0">
                  <c:v>Res. Income-Eligible</c:v>
                </c:pt>
                <c:pt idx="1">
                  <c:v>Res. Non Income-Eligible</c:v>
                </c:pt>
                <c:pt idx="2">
                  <c:v>C&amp;I Q1</c:v>
                </c:pt>
                <c:pt idx="3">
                  <c:v>C&amp;I Q2</c:v>
                </c:pt>
                <c:pt idx="4">
                  <c:v>C&amp;I Q3</c:v>
                </c:pt>
                <c:pt idx="5">
                  <c:v>C&amp;I Q4</c:v>
                </c:pt>
              </c:strCache>
            </c:strRef>
          </c:cat>
          <c:val>
            <c:numRef>
              <c:f>('[17]2024 Joint Table A1 Pies -Elec '!$G$30:$G$31,'[17]2024 Joint Table A1 Pies -Elec '!$G$35:$G$38)</c:f>
              <c:numCache>
                <c:formatCode>General</c:formatCode>
                <c:ptCount val="6"/>
                <c:pt idx="0">
                  <c:v>0.12614</c:v>
                </c:pt>
                <c:pt idx="1">
                  <c:v>0.35880000000000001</c:v>
                </c:pt>
                <c:pt idx="2">
                  <c:v>0.12876499999999999</c:v>
                </c:pt>
                <c:pt idx="3">
                  <c:v>0.12876499999999999</c:v>
                </c:pt>
                <c:pt idx="4">
                  <c:v>0.12876499999999999</c:v>
                </c:pt>
                <c:pt idx="5">
                  <c:v>0.12876499999999999</c:v>
                </c:pt>
              </c:numCache>
            </c:numRef>
          </c:val>
          <c:extLst>
            <c:ext xmlns:c16="http://schemas.microsoft.com/office/drawing/2014/chart" uri="{C3380CC4-5D6E-409C-BE32-E72D297353CC}">
              <c16:uniqueId val="{0000000C-A8F4-4C1A-8B09-4C8C0824CBD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a:t>EE Revenue By Customer Class</a:t>
            </a:r>
          </a:p>
        </c:rich>
      </c:tx>
      <c:layout>
        <c:manualLayout>
          <c:xMode val="edge"/>
          <c:yMode val="edge"/>
          <c:x val="0.22112245870256317"/>
          <c:y val="3.3163265306122451E-2"/>
        </c:manualLayout>
      </c:layout>
      <c:overlay val="0"/>
      <c:spPr>
        <a:noFill/>
        <a:ln w="25400">
          <a:noFill/>
        </a:ln>
      </c:spPr>
    </c:title>
    <c:autoTitleDeleted val="0"/>
    <c:plotArea>
      <c:layout>
        <c:manualLayout>
          <c:layoutTarget val="inner"/>
          <c:xMode val="edge"/>
          <c:yMode val="edge"/>
          <c:x val="0.33498403817301942"/>
          <c:y val="0.31377551020408162"/>
          <c:w val="0.33828437352447777"/>
          <c:h val="0.5229591836734693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694-4681-B52F-3E214AF3F34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694-4681-B52F-3E214AF3F34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694-4681-B52F-3E214AF3F34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694-4681-B52F-3E214AF3F34A}"/>
              </c:ext>
            </c:extLst>
          </c:dPt>
          <c:dLbls>
            <c:dLbl>
              <c:idx val="0"/>
              <c:layout>
                <c:manualLayout>
                  <c:x val="9.6864192930994686E-2"/>
                  <c:y val="5.7609098549267324E-2"/>
                </c:manualLayout>
              </c:layout>
              <c:tx>
                <c:rich>
                  <a:bodyPr/>
                  <a:lstStyle/>
                  <a:p>
                    <a:r>
                      <a:rPr lang="en-US"/>
                      <a:t>Res. Income Eligible </a:t>
                    </a:r>
                  </a:p>
                  <a:p>
                    <a:r>
                      <a:rPr lang="en-US"/>
                      <a:t>12%</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694-4681-B52F-3E214AF3F34A}"/>
                </c:ext>
              </c:extLst>
            </c:dLbl>
            <c:dLbl>
              <c:idx val="1"/>
              <c:layout>
                <c:manualLayout>
                  <c:x val="-0.14444810679997008"/>
                  <c:y val="-2.8399805807020142E-2"/>
                </c:manualLayout>
              </c:layout>
              <c:tx>
                <c:rich>
                  <a:bodyPr/>
                  <a:lstStyle/>
                  <a:p>
                    <a:r>
                      <a:rPr lang="en-US" b="1">
                        <a:solidFill>
                          <a:schemeClr val="bg1"/>
                        </a:solidFill>
                      </a:rPr>
                      <a:t>Res. Non Income Eligible 32%</a:t>
                    </a:r>
                  </a:p>
                </c:rich>
              </c:tx>
              <c:showLegendKey val="0"/>
              <c:showVal val="1"/>
              <c:showCatName val="1"/>
              <c:showSerName val="0"/>
              <c:showPercent val="0"/>
              <c:showBubbleSize val="0"/>
              <c:extLst>
                <c:ext xmlns:c15="http://schemas.microsoft.com/office/drawing/2012/chart" uri="{CE6537A1-D6FC-4f65-9D91-7224C49458BB}">
                  <c15:layout>
                    <c:manualLayout>
                      <c:w val="0.13540464401282715"/>
                      <c:h val="0.25772800504985627"/>
                    </c:manualLayout>
                  </c15:layout>
                  <c15:showDataLabelsRange val="0"/>
                </c:ext>
                <c:ext xmlns:c16="http://schemas.microsoft.com/office/drawing/2014/chart" uri="{C3380CC4-5D6E-409C-BE32-E72D297353CC}">
                  <c16:uniqueId val="{00000002-3694-4681-B52F-3E214AF3F34A}"/>
                </c:ext>
              </c:extLst>
            </c:dLbl>
            <c:dLbl>
              <c:idx val="2"/>
              <c:tx>
                <c:rich>
                  <a:bodyPr/>
                  <a:lstStyle/>
                  <a:p>
                    <a:r>
                      <a:rPr lang="en-US" b="1"/>
                      <a:t>C&amp;I Small/Med 25%</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694-4681-B52F-3E214AF3F34A}"/>
                </c:ext>
              </c:extLst>
            </c:dLbl>
            <c:dLbl>
              <c:idx val="3"/>
              <c:tx>
                <c:rich>
                  <a:bodyPr/>
                  <a:lstStyle/>
                  <a:p>
                    <a:r>
                      <a:rPr lang="en-US" b="1"/>
                      <a:t>C&amp;I Large 31%</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694-4681-B52F-3E214AF3F34A}"/>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('ES CT Electric 2021 Table A Pie'!$B$30:$B$31,'ES CT Electric 2021 Table A Pie'!$B$33:$B$34,'ES CT Electric 2021 Table A Pie'!$G$30:$G$31,'ES CT Electric 2021 Table A Pie'!$G$33:$G$34)</c:f>
              <c:strCache>
                <c:ptCount val="8"/>
                <c:pt idx="0">
                  <c:v>Res. Income-Eligible</c:v>
                </c:pt>
                <c:pt idx="1">
                  <c:v>Res. Non Income-Eligible</c:v>
                </c:pt>
                <c:pt idx="2">
                  <c:v>C&amp;I Small/Med</c:v>
                </c:pt>
                <c:pt idx="3">
                  <c:v>C&amp;I Large</c:v>
                </c:pt>
                <c:pt idx="4">
                  <c:v>12%</c:v>
                </c:pt>
                <c:pt idx="5">
                  <c:v>32%</c:v>
                </c:pt>
                <c:pt idx="6">
                  <c:v>25%</c:v>
                </c:pt>
                <c:pt idx="7">
                  <c:v>31%</c:v>
                </c:pt>
              </c:strCache>
            </c:strRef>
          </c:cat>
          <c:val>
            <c:numRef>
              <c:f>('ES CT Electric 2021 Table A Pie'!$G$30:$G$31,'ES CT Electric 2021 Table A Pie'!$G$33:$G$34)</c:f>
              <c:numCache>
                <c:formatCode>0%</c:formatCode>
                <c:ptCount val="4"/>
                <c:pt idx="0">
                  <c:v>0.12</c:v>
                </c:pt>
                <c:pt idx="1">
                  <c:v>0.32</c:v>
                </c:pt>
                <c:pt idx="2">
                  <c:v>0.25424000000000002</c:v>
                </c:pt>
                <c:pt idx="3">
                  <c:v>0.30576000000000003</c:v>
                </c:pt>
              </c:numCache>
            </c:numRef>
          </c:val>
          <c:extLst>
            <c:ext xmlns:c16="http://schemas.microsoft.com/office/drawing/2014/chart" uri="{C3380CC4-5D6E-409C-BE32-E72D297353CC}">
              <c16:uniqueId val="{00000007-3694-4681-B52F-3E214AF3F34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sz="1500" baseline="0"/>
              <a:t>EE Budget By Customer Class</a:t>
            </a:r>
          </a:p>
        </c:rich>
      </c:tx>
      <c:layout>
        <c:manualLayout>
          <c:xMode val="edge"/>
          <c:yMode val="edge"/>
          <c:x val="0.25645759144971741"/>
          <c:y val="3.3333333333333333E-2"/>
        </c:manualLayout>
      </c:layout>
      <c:overlay val="0"/>
      <c:spPr>
        <a:noFill/>
        <a:ln w="25400">
          <a:noFill/>
        </a:ln>
      </c:spPr>
    </c:title>
    <c:autoTitleDeleted val="0"/>
    <c:plotArea>
      <c:layout>
        <c:manualLayout>
          <c:layoutTarget val="inner"/>
          <c:xMode val="edge"/>
          <c:yMode val="edge"/>
          <c:x val="0.27859778597785978"/>
          <c:y val="0.26666733440338142"/>
          <c:w val="0.43357933579335795"/>
          <c:h val="0.6025656113922560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2CD-4486-A9CB-5B63A802038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2CD-4486-A9CB-5B63A802038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2CD-4486-A9CB-5B63A802038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2CD-4486-A9CB-5B63A802038C}"/>
              </c:ext>
            </c:extLst>
          </c:dPt>
          <c:dLbls>
            <c:dLbl>
              <c:idx val="0"/>
              <c:layout>
                <c:manualLayout>
                  <c:x val="0.10132868351297543"/>
                  <c:y val="7.56213853948877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2CD-4486-A9CB-5B63A802038C}"/>
                </c:ext>
              </c:extLst>
            </c:dLbl>
            <c:dLbl>
              <c:idx val="1"/>
              <c:layout>
                <c:manualLayout>
                  <c:x val="-0.16099848494547939"/>
                  <c:y val="-4.9244239488075096E-2"/>
                </c:manualLayout>
              </c:layout>
              <c:tx>
                <c:rich>
                  <a:bodyPr/>
                  <a:lstStyle/>
                  <a:p>
                    <a:fld id="{0FF87C37-F12F-46D7-B728-971FE545AF42}" type="CATEGORYNAME">
                      <a:rPr lang="en-US" b="1">
                        <a:solidFill>
                          <a:schemeClr val="bg1"/>
                        </a:solidFill>
                      </a:rPr>
                      <a:pPr/>
                      <a:t>[CATEGORY NAME]</a:t>
                    </a:fld>
                    <a:r>
                      <a:rPr lang="en-US" b="1" baseline="0">
                        <a:solidFill>
                          <a:schemeClr val="bg1"/>
                        </a:solidFill>
                      </a:rPr>
                      <a:t>
</a:t>
                    </a:r>
                    <a:fld id="{299DF784-1A49-4AC9-98CF-7CA4E1BE7A52}" type="PERCENTAGE">
                      <a:rPr lang="en-US" b="1" baseline="0">
                        <a:solidFill>
                          <a:schemeClr val="bg1"/>
                        </a:solidFill>
                      </a:rPr>
                      <a:pPr/>
                      <a:t>[PERCENTAGE]</a:t>
                    </a:fld>
                    <a:endParaRPr lang="en-US" b="1"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2CD-4486-A9CB-5B63A802038C}"/>
                </c:ext>
              </c:extLst>
            </c:dLbl>
            <c:dLbl>
              <c:idx val="2"/>
              <c:layout>
                <c:manualLayout>
                  <c:x val="0.11880624124438438"/>
                  <c:y val="-0.18279330050298898"/>
                </c:manualLayout>
              </c:layout>
              <c:tx>
                <c:rich>
                  <a:bodyPr/>
                  <a:lstStyle/>
                  <a:p>
                    <a:fld id="{3767103E-F200-46FE-9897-0951E549592E}" type="CATEGORYNAME">
                      <a:rPr lang="en-US" b="1"/>
                      <a:pPr/>
                      <a:t>[CATEGORY NAME]</a:t>
                    </a:fld>
                    <a:r>
                      <a:rPr lang="en-US" baseline="0"/>
                      <a:t>
</a:t>
                    </a:r>
                    <a:fld id="{D0D8D547-916F-46D1-81D5-91A29946C789}"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2CD-4486-A9CB-5B63A802038C}"/>
                </c:ext>
              </c:extLst>
            </c:dLbl>
            <c:dLbl>
              <c:idx val="3"/>
              <c:tx>
                <c:rich>
                  <a:bodyPr/>
                  <a:lstStyle/>
                  <a:p>
                    <a:fld id="{94863EEC-2E3D-4E13-B5B7-F9C74EE358D0}" type="CATEGORYNAME">
                      <a:rPr lang="en-US" b="1"/>
                      <a:pPr/>
                      <a:t>[CATEGORY NAME]</a:t>
                    </a:fld>
                    <a:r>
                      <a:rPr lang="en-US" b="1" baseline="0"/>
                      <a:t>
</a:t>
                    </a:r>
                    <a:fld id="{29750761-8CCA-4D33-9CBD-DC318934353C}" type="PERCENTAGE">
                      <a:rPr lang="en-US" b="1" baseline="0"/>
                      <a:pPr/>
                      <a:t>[PERCENTAGE]</a:t>
                    </a:fld>
                    <a:endParaRPr lang="en-US" b="1"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C2CD-4486-A9CB-5B63A802038C}"/>
                </c:ext>
              </c:extLst>
            </c:dLbl>
            <c:dLbl>
              <c:idx val="5"/>
              <c:layout>
                <c:manualLayout>
                  <c:xMode val="edge"/>
                  <c:yMode val="edge"/>
                  <c:x val="0.46125461254612549"/>
                  <c:y val="0.110256686339859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2CD-4486-A9CB-5B63A802038C}"/>
                </c:ext>
              </c:extLst>
            </c:dLbl>
            <c:dLbl>
              <c:idx val="6"/>
              <c:layout>
                <c:manualLayout>
                  <c:xMode val="edge"/>
                  <c:yMode val="edge"/>
                  <c:x val="0.29520295202952029"/>
                  <c:y val="0.148718321109578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2CD-4486-A9CB-5B63A802038C}"/>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2021 Table A Pie'!$B$30:$B$31,'ES CT Electric 2021 Table A Pie'!$B$33:$B$34)</c:f>
              <c:strCache>
                <c:ptCount val="4"/>
                <c:pt idx="0">
                  <c:v>Res. Income-Eligible</c:v>
                </c:pt>
                <c:pt idx="1">
                  <c:v>Res. Non Income-Eligible</c:v>
                </c:pt>
                <c:pt idx="2">
                  <c:v>C&amp;I Small/Med</c:v>
                </c:pt>
                <c:pt idx="3">
                  <c:v>C&amp;I Large</c:v>
                </c:pt>
              </c:strCache>
            </c:strRef>
          </c:cat>
          <c:val>
            <c:numRef>
              <c:f>('ES CT Electric 2021 Table A Pie'!$F$30:$F$31,'ES CT Electric 2021 Table A Pie'!$F$33:$F$34)</c:f>
              <c:numCache>
                <c:formatCode>0%</c:formatCode>
                <c:ptCount val="4"/>
                <c:pt idx="0">
                  <c:v>0.14727272150235987</c:v>
                </c:pt>
                <c:pt idx="1">
                  <c:v>0.40974809396893858</c:v>
                </c:pt>
                <c:pt idx="2">
                  <c:v>0.20111254977603046</c:v>
                </c:pt>
                <c:pt idx="3">
                  <c:v>0.24186663475267101</c:v>
                </c:pt>
              </c:numCache>
            </c:numRef>
          </c:val>
          <c:extLst>
            <c:ext xmlns:c16="http://schemas.microsoft.com/office/drawing/2014/chart" uri="{C3380CC4-5D6E-409C-BE32-E72D297353CC}">
              <c16:uniqueId val="{00000009-C2CD-4486-A9CB-5B63A802038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a:t>EE Revenue By Customer Class</a:t>
            </a:r>
          </a:p>
        </c:rich>
      </c:tx>
      <c:layout>
        <c:manualLayout>
          <c:xMode val="edge"/>
          <c:yMode val="edge"/>
          <c:x val="0.22112245870256317"/>
          <c:y val="3.3163265306122451E-2"/>
        </c:manualLayout>
      </c:layout>
      <c:overlay val="0"/>
      <c:spPr>
        <a:noFill/>
        <a:ln w="25400">
          <a:noFill/>
        </a:ln>
      </c:spPr>
    </c:title>
    <c:autoTitleDeleted val="0"/>
    <c:plotArea>
      <c:layout>
        <c:manualLayout>
          <c:layoutTarget val="inner"/>
          <c:xMode val="edge"/>
          <c:yMode val="edge"/>
          <c:x val="0.33498403817301942"/>
          <c:y val="0.31377551020408162"/>
          <c:w val="0.33828437352447777"/>
          <c:h val="0.5229591836734693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FB7-4A6C-813F-0440A065C8B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FB7-4A6C-813F-0440A065C8B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0FB7-4A6C-813F-0440A065C8B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0FB7-4A6C-813F-0440A065C8B9}"/>
              </c:ext>
            </c:extLst>
          </c:dPt>
          <c:dLbls>
            <c:dLbl>
              <c:idx val="0"/>
              <c:layout>
                <c:manualLayout>
                  <c:x val="9.6864192930994686E-2"/>
                  <c:y val="5.7609098549267324E-2"/>
                </c:manualLayout>
              </c:layout>
              <c:tx>
                <c:rich>
                  <a:bodyPr/>
                  <a:lstStyle/>
                  <a:p>
                    <a:r>
                      <a:rPr lang="en-US"/>
                      <a:t>Res. Income Eligible </a:t>
                    </a:r>
                  </a:p>
                  <a:p>
                    <a:r>
                      <a:rPr lang="en-US"/>
                      <a:t>13%</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FB7-4A6C-813F-0440A065C8B9}"/>
                </c:ext>
              </c:extLst>
            </c:dLbl>
            <c:dLbl>
              <c:idx val="1"/>
              <c:layout>
                <c:manualLayout>
                  <c:x val="-0.15065048997766672"/>
                  <c:y val="-7.1013970545343169E-2"/>
                </c:manualLayout>
              </c:layout>
              <c:tx>
                <c:rich>
                  <a:bodyPr/>
                  <a:lstStyle/>
                  <a:p>
                    <a:r>
                      <a:rPr lang="en-US" b="1">
                        <a:solidFill>
                          <a:schemeClr val="bg1"/>
                        </a:solidFill>
                      </a:rPr>
                      <a:t>Res. Non Income Eligible 36%</a:t>
                    </a:r>
                  </a:p>
                </c:rich>
              </c:tx>
              <c:showLegendKey val="0"/>
              <c:showVal val="1"/>
              <c:showCatName val="1"/>
              <c:showSerName val="0"/>
              <c:showPercent val="0"/>
              <c:showBubbleSize val="0"/>
              <c:extLst>
                <c:ext xmlns:c15="http://schemas.microsoft.com/office/drawing/2012/chart" uri="{CE6537A1-D6FC-4f65-9D91-7224C49458BB}">
                  <c15:layout>
                    <c:manualLayout>
                      <c:w val="0.13540464401282715"/>
                      <c:h val="0.25772800504985627"/>
                    </c:manualLayout>
                  </c15:layout>
                  <c15:showDataLabelsRange val="0"/>
                </c:ext>
                <c:ext xmlns:c16="http://schemas.microsoft.com/office/drawing/2014/chart" uri="{C3380CC4-5D6E-409C-BE32-E72D297353CC}">
                  <c16:uniqueId val="{00000002-0FB7-4A6C-813F-0440A065C8B9}"/>
                </c:ext>
              </c:extLst>
            </c:dLbl>
            <c:dLbl>
              <c:idx val="2"/>
              <c:tx>
                <c:rich>
                  <a:bodyPr/>
                  <a:lstStyle/>
                  <a:p>
                    <a:r>
                      <a:rPr lang="en-US" b="1"/>
                      <a:t>C&amp;I Small/Med 23%</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FB7-4A6C-813F-0440A065C8B9}"/>
                </c:ext>
              </c:extLst>
            </c:dLbl>
            <c:dLbl>
              <c:idx val="3"/>
              <c:tx>
                <c:rich>
                  <a:bodyPr/>
                  <a:lstStyle/>
                  <a:p>
                    <a:r>
                      <a:rPr lang="en-US" b="1"/>
                      <a:t>C&amp;I Large 28%</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FB7-4A6C-813F-0440A065C8B9}"/>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('ES CT Electric 2022 Table A Pie'!$B$30:$B$31,'ES CT Electric 2022 Table A Pie'!$B$33:$B$34,'ES CT Electric 2022 Table A Pie'!$G$30:$G$31,'ES CT Electric 2022 Table A Pie'!$G$33:$G$34)</c:f>
              <c:strCache>
                <c:ptCount val="8"/>
                <c:pt idx="0">
                  <c:v>Res. Income-Eligible</c:v>
                </c:pt>
                <c:pt idx="1">
                  <c:v>Res. Non Income-Eligible</c:v>
                </c:pt>
                <c:pt idx="2">
                  <c:v>C&amp;I Small/Med</c:v>
                </c:pt>
                <c:pt idx="3">
                  <c:v>C&amp;I Large</c:v>
                </c:pt>
                <c:pt idx="4">
                  <c:v>13%</c:v>
                </c:pt>
                <c:pt idx="5">
                  <c:v>36%</c:v>
                </c:pt>
                <c:pt idx="6">
                  <c:v>23%</c:v>
                </c:pt>
                <c:pt idx="7">
                  <c:v>29%</c:v>
                </c:pt>
              </c:strCache>
            </c:strRef>
          </c:cat>
          <c:val>
            <c:numRef>
              <c:f>('ES CT Electric 2022 Table A Pie'!$G$30:$G$31,'ES CT Electric 2022 Table A Pie'!$G$33:$G$34)</c:f>
              <c:numCache>
                <c:formatCode>0%</c:formatCode>
                <c:ptCount val="4"/>
                <c:pt idx="0">
                  <c:v>0.125</c:v>
                </c:pt>
                <c:pt idx="1">
                  <c:v>0.35820000000000002</c:v>
                </c:pt>
                <c:pt idx="2">
                  <c:v>0.22526303567681841</c:v>
                </c:pt>
                <c:pt idx="3">
                  <c:v>0.29153696432318149</c:v>
                </c:pt>
              </c:numCache>
            </c:numRef>
          </c:val>
          <c:extLst>
            <c:ext xmlns:c16="http://schemas.microsoft.com/office/drawing/2014/chart" uri="{C3380CC4-5D6E-409C-BE32-E72D297353CC}">
              <c16:uniqueId val="{00000007-0FB7-4A6C-813F-0440A065C8B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sz="1500" baseline="0"/>
              <a:t>EE Budget By Customer Class</a:t>
            </a:r>
          </a:p>
        </c:rich>
      </c:tx>
      <c:layout>
        <c:manualLayout>
          <c:xMode val="edge"/>
          <c:yMode val="edge"/>
          <c:x val="0.25645759144971741"/>
          <c:y val="3.3333333333333333E-2"/>
        </c:manualLayout>
      </c:layout>
      <c:overlay val="0"/>
      <c:spPr>
        <a:noFill/>
        <a:ln w="25400">
          <a:noFill/>
        </a:ln>
      </c:spPr>
    </c:title>
    <c:autoTitleDeleted val="0"/>
    <c:plotArea>
      <c:layout>
        <c:manualLayout>
          <c:layoutTarget val="inner"/>
          <c:xMode val="edge"/>
          <c:yMode val="edge"/>
          <c:x val="0.27859778597785978"/>
          <c:y val="0.26666733440338142"/>
          <c:w val="0.43357933579335795"/>
          <c:h val="0.6025656113922560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9FE-4EDB-B0CC-E2960D2BD83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9FE-4EDB-B0CC-E2960D2BD83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9FE-4EDB-B0CC-E2960D2BD83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9FE-4EDB-B0CC-E2960D2BD83F}"/>
              </c:ext>
            </c:extLst>
          </c:dPt>
          <c:dLbls>
            <c:dLbl>
              <c:idx val="0"/>
              <c:layout>
                <c:manualLayout>
                  <c:x val="0.10132868351297543"/>
                  <c:y val="7.56213853948877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FE-4EDB-B0CC-E2960D2BD83F}"/>
                </c:ext>
              </c:extLst>
            </c:dLbl>
            <c:dLbl>
              <c:idx val="1"/>
              <c:layout>
                <c:manualLayout>
                  <c:x val="-0.1609983995902951"/>
                  <c:y val="-9.2069010418017697E-2"/>
                </c:manualLayout>
              </c:layout>
              <c:tx>
                <c:rich>
                  <a:bodyPr/>
                  <a:lstStyle/>
                  <a:p>
                    <a:fld id="{0FF87C37-F12F-46D7-B728-971FE545AF42}" type="CATEGORYNAME">
                      <a:rPr lang="en-US" b="1">
                        <a:solidFill>
                          <a:schemeClr val="bg1"/>
                        </a:solidFill>
                      </a:rPr>
                      <a:pPr/>
                      <a:t>[CATEGORY NAME]</a:t>
                    </a:fld>
                    <a:r>
                      <a:rPr lang="en-US" b="1" baseline="0">
                        <a:solidFill>
                          <a:schemeClr val="bg1"/>
                        </a:solidFill>
                      </a:rPr>
                      <a:t>
</a:t>
                    </a:r>
                    <a:fld id="{299DF784-1A49-4AC9-98CF-7CA4E1BE7A52}" type="PERCENTAGE">
                      <a:rPr lang="en-US" b="1" baseline="0">
                        <a:solidFill>
                          <a:schemeClr val="bg1"/>
                        </a:solidFill>
                      </a:rPr>
                      <a:pPr/>
                      <a:t>[PERCENTAGE]</a:t>
                    </a:fld>
                    <a:endParaRPr lang="en-US" b="1"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12576693766937666"/>
                      <c:h val="0.24449658698645271"/>
                    </c:manualLayout>
                  </c15:layout>
                  <c15:dlblFieldTable/>
                  <c15:showDataLabelsRange val="0"/>
                </c:ext>
                <c:ext xmlns:c16="http://schemas.microsoft.com/office/drawing/2014/chart" uri="{C3380CC4-5D6E-409C-BE32-E72D297353CC}">
                  <c16:uniqueId val="{00000002-29FE-4EDB-B0CC-E2960D2BD83F}"/>
                </c:ext>
              </c:extLst>
            </c:dLbl>
            <c:dLbl>
              <c:idx val="2"/>
              <c:layout>
                <c:manualLayout>
                  <c:x val="0.14265437552013316"/>
                  <c:y val="-0.18112038502384137"/>
                </c:manualLayout>
              </c:layout>
              <c:tx>
                <c:rich>
                  <a:bodyPr/>
                  <a:lstStyle/>
                  <a:p>
                    <a:fld id="{3767103E-F200-46FE-9897-0951E549592E}" type="CATEGORYNAME">
                      <a:rPr lang="en-US" b="1"/>
                      <a:pPr/>
                      <a:t>[CATEGORY NAME]</a:t>
                    </a:fld>
                    <a:r>
                      <a:rPr lang="en-US" baseline="0"/>
                      <a:t>
</a:t>
                    </a:r>
                    <a:fld id="{D0D8D547-916F-46D1-81D5-91A29946C789}"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19372349188058804"/>
                      <c:h val="0.12583854469502831"/>
                    </c:manualLayout>
                  </c15:layout>
                  <c15:dlblFieldTable/>
                  <c15:showDataLabelsRange val="0"/>
                </c:ext>
                <c:ext xmlns:c16="http://schemas.microsoft.com/office/drawing/2014/chart" uri="{C3380CC4-5D6E-409C-BE32-E72D297353CC}">
                  <c16:uniqueId val="{00000004-29FE-4EDB-B0CC-E2960D2BD83F}"/>
                </c:ext>
              </c:extLst>
            </c:dLbl>
            <c:dLbl>
              <c:idx val="3"/>
              <c:tx>
                <c:rich>
                  <a:bodyPr/>
                  <a:lstStyle/>
                  <a:p>
                    <a:fld id="{94863EEC-2E3D-4E13-B5B7-F9C74EE358D0}" type="CATEGORYNAME">
                      <a:rPr lang="en-US" b="1"/>
                      <a:pPr/>
                      <a:t>[CATEGORY NAME]</a:t>
                    </a:fld>
                    <a:r>
                      <a:rPr lang="en-US" b="1" baseline="0"/>
                      <a:t>
</a:t>
                    </a:r>
                    <a:fld id="{29750761-8CCA-4D33-9CBD-DC318934353C}" type="PERCENTAGE">
                      <a:rPr lang="en-US" b="1" baseline="0"/>
                      <a:pPr/>
                      <a:t>[PERCENTAGE]</a:t>
                    </a:fld>
                    <a:endParaRPr lang="en-US" b="1"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9FE-4EDB-B0CC-E2960D2BD83F}"/>
                </c:ext>
              </c:extLst>
            </c:dLbl>
            <c:dLbl>
              <c:idx val="5"/>
              <c:layout>
                <c:manualLayout>
                  <c:xMode val="edge"/>
                  <c:yMode val="edge"/>
                  <c:x val="0.46125461254612549"/>
                  <c:y val="0.110256686339859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9FE-4EDB-B0CC-E2960D2BD83F}"/>
                </c:ext>
              </c:extLst>
            </c:dLbl>
            <c:dLbl>
              <c:idx val="6"/>
              <c:layout>
                <c:manualLayout>
                  <c:xMode val="edge"/>
                  <c:yMode val="edge"/>
                  <c:x val="0.29520295202952029"/>
                  <c:y val="0.148718321109578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9FE-4EDB-B0CC-E2960D2BD83F}"/>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2022 Table A Pie'!$B$30:$B$31,'ES CT Electric 2022 Table A Pie'!$B$33:$B$34)</c:f>
              <c:strCache>
                <c:ptCount val="4"/>
                <c:pt idx="0">
                  <c:v>Res. Income-Eligible</c:v>
                </c:pt>
                <c:pt idx="1">
                  <c:v>Res. Non Income-Eligible</c:v>
                </c:pt>
                <c:pt idx="2">
                  <c:v>C&amp;I Small/Med</c:v>
                </c:pt>
                <c:pt idx="3">
                  <c:v>C&amp;I Large</c:v>
                </c:pt>
              </c:strCache>
            </c:strRef>
          </c:cat>
          <c:val>
            <c:numRef>
              <c:f>('ES CT Electric 2022 Table A Pie'!$F$30:$F$31,'ES CT Electric 2022 Table A Pie'!$F$33:$F$34)</c:f>
              <c:numCache>
                <c:formatCode>0%</c:formatCode>
                <c:ptCount val="4"/>
                <c:pt idx="0">
                  <c:v>0.13599229777389446</c:v>
                </c:pt>
                <c:pt idx="1">
                  <c:v>0.34501218922642174</c:v>
                </c:pt>
                <c:pt idx="2">
                  <c:v>0.22622001695231514</c:v>
                </c:pt>
                <c:pt idx="3">
                  <c:v>0.29277549604736869</c:v>
                </c:pt>
              </c:numCache>
            </c:numRef>
          </c:val>
          <c:extLst>
            <c:ext xmlns:c16="http://schemas.microsoft.com/office/drawing/2014/chart" uri="{C3380CC4-5D6E-409C-BE32-E72D297353CC}">
              <c16:uniqueId val="{00000009-29FE-4EDB-B0CC-E2960D2BD83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a:t>EE Revenue By Customer Class</a:t>
            </a:r>
          </a:p>
        </c:rich>
      </c:tx>
      <c:layout>
        <c:manualLayout>
          <c:xMode val="edge"/>
          <c:yMode val="edge"/>
          <c:x val="0.22112245870256317"/>
          <c:y val="3.3163265306122451E-2"/>
        </c:manualLayout>
      </c:layout>
      <c:overlay val="0"/>
      <c:spPr>
        <a:noFill/>
        <a:ln w="25400">
          <a:noFill/>
        </a:ln>
      </c:spPr>
    </c:title>
    <c:autoTitleDeleted val="0"/>
    <c:plotArea>
      <c:layout>
        <c:manualLayout>
          <c:layoutTarget val="inner"/>
          <c:xMode val="edge"/>
          <c:yMode val="edge"/>
          <c:x val="0.33498403817301942"/>
          <c:y val="0.31377551020408162"/>
          <c:w val="0.33828437352447777"/>
          <c:h val="0.5229591836734693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891-42D8-95E3-29A5AEB9BBF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891-42D8-95E3-29A5AEB9BBF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891-42D8-95E3-29A5AEB9BBF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891-42D8-95E3-29A5AEB9BBF0}"/>
              </c:ext>
            </c:extLst>
          </c:dPt>
          <c:dLbls>
            <c:dLbl>
              <c:idx val="0"/>
              <c:layout>
                <c:manualLayout>
                  <c:x val="9.6864192930994686E-2"/>
                  <c:y val="5.7609098549267324E-2"/>
                </c:manualLayout>
              </c:layout>
              <c:tx>
                <c:rich>
                  <a:bodyPr/>
                  <a:lstStyle/>
                  <a:p>
                    <a:r>
                      <a:rPr lang="en-US"/>
                      <a:t>Res. Income Eligible </a:t>
                    </a:r>
                  </a:p>
                  <a:p>
                    <a:r>
                      <a:rPr lang="en-US"/>
                      <a:t>13%</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891-42D8-95E3-29A5AEB9BBF0}"/>
                </c:ext>
              </c:extLst>
            </c:dLbl>
            <c:dLbl>
              <c:idx val="1"/>
              <c:layout>
                <c:manualLayout>
                  <c:x val="-0.14444810679997008"/>
                  <c:y val="-2.8399805807020142E-2"/>
                </c:manualLayout>
              </c:layout>
              <c:tx>
                <c:rich>
                  <a:bodyPr/>
                  <a:lstStyle/>
                  <a:p>
                    <a:r>
                      <a:rPr lang="en-US" b="1">
                        <a:solidFill>
                          <a:schemeClr val="bg1"/>
                        </a:solidFill>
                      </a:rPr>
                      <a:t>Res. Non Income Eligible 37%</a:t>
                    </a:r>
                  </a:p>
                </c:rich>
              </c:tx>
              <c:showLegendKey val="0"/>
              <c:showVal val="1"/>
              <c:showCatName val="1"/>
              <c:showSerName val="0"/>
              <c:showPercent val="0"/>
              <c:showBubbleSize val="0"/>
              <c:extLst>
                <c:ext xmlns:c15="http://schemas.microsoft.com/office/drawing/2012/chart" uri="{CE6537A1-D6FC-4f65-9D91-7224C49458BB}">
                  <c15:layout>
                    <c:manualLayout>
                      <c:w val="0.13540464401282715"/>
                      <c:h val="0.25772800504985627"/>
                    </c:manualLayout>
                  </c15:layout>
                  <c15:showDataLabelsRange val="0"/>
                </c:ext>
                <c:ext xmlns:c16="http://schemas.microsoft.com/office/drawing/2014/chart" uri="{C3380CC4-5D6E-409C-BE32-E72D297353CC}">
                  <c16:uniqueId val="{00000002-F891-42D8-95E3-29A5AEB9BBF0}"/>
                </c:ext>
              </c:extLst>
            </c:dLbl>
            <c:dLbl>
              <c:idx val="2"/>
              <c:tx>
                <c:rich>
                  <a:bodyPr/>
                  <a:lstStyle/>
                  <a:p>
                    <a:r>
                      <a:rPr lang="en-US" b="1"/>
                      <a:t>C&amp;I Small/Med 23%</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91-42D8-95E3-29A5AEB9BBF0}"/>
                </c:ext>
              </c:extLst>
            </c:dLbl>
            <c:dLbl>
              <c:idx val="3"/>
              <c:tx>
                <c:rich>
                  <a:bodyPr/>
                  <a:lstStyle/>
                  <a:p>
                    <a:r>
                      <a:rPr lang="en-US" b="1"/>
                      <a:t>C&amp;I Large 27%</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91-42D8-95E3-29A5AEB9BBF0}"/>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('ES CT Electric 2023 Table A Pie'!$B$30:$B$31,'ES CT Electric 2023 Table A Pie'!$B$33:$B$34,'ES CT Electric 2023 Table A Pie'!$G$30:$G$31,'ES CT Electric 2023 Table A Pie'!$G$33:$G$34)</c:f>
              <c:strCache>
                <c:ptCount val="8"/>
                <c:pt idx="0">
                  <c:v>Res. Income-Eligible</c:v>
                </c:pt>
                <c:pt idx="1">
                  <c:v>Res. Non Income-Eligible</c:v>
                </c:pt>
                <c:pt idx="2">
                  <c:v>C&amp;I Small/Med</c:v>
                </c:pt>
                <c:pt idx="3">
                  <c:v>C&amp;I Large</c:v>
                </c:pt>
                <c:pt idx="4">
                  <c:v>13%</c:v>
                </c:pt>
                <c:pt idx="5">
                  <c:v>37%</c:v>
                </c:pt>
                <c:pt idx="6">
                  <c:v>23%</c:v>
                </c:pt>
                <c:pt idx="7">
                  <c:v>28%</c:v>
                </c:pt>
              </c:strCache>
            </c:strRef>
          </c:cat>
          <c:val>
            <c:numRef>
              <c:f>('ES CT Electric 2023 Table A Pie'!$G$30:$G$31,'ES CT Electric 2023 Table A Pie'!$G$33:$G$34)</c:f>
              <c:numCache>
                <c:formatCode>0%</c:formatCode>
                <c:ptCount val="4"/>
                <c:pt idx="0">
                  <c:v>0.125</c:v>
                </c:pt>
                <c:pt idx="1">
                  <c:v>0.37040000000000001</c:v>
                </c:pt>
                <c:pt idx="2">
                  <c:v>0.2290884</c:v>
                </c:pt>
                <c:pt idx="3">
                  <c:v>0.27551159999999991</c:v>
                </c:pt>
              </c:numCache>
            </c:numRef>
          </c:val>
          <c:extLst>
            <c:ext xmlns:c16="http://schemas.microsoft.com/office/drawing/2014/chart" uri="{C3380CC4-5D6E-409C-BE32-E72D297353CC}">
              <c16:uniqueId val="{00000007-F891-42D8-95E3-29A5AEB9BBF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sz="1500" baseline="0"/>
              <a:t>EE Budget By Customer Class</a:t>
            </a:r>
          </a:p>
        </c:rich>
      </c:tx>
      <c:layout>
        <c:manualLayout>
          <c:xMode val="edge"/>
          <c:yMode val="edge"/>
          <c:x val="0.25645759144971741"/>
          <c:y val="3.3333333333333333E-2"/>
        </c:manualLayout>
      </c:layout>
      <c:overlay val="0"/>
      <c:spPr>
        <a:noFill/>
        <a:ln w="25400">
          <a:noFill/>
        </a:ln>
      </c:spPr>
    </c:title>
    <c:autoTitleDeleted val="0"/>
    <c:plotArea>
      <c:layout>
        <c:manualLayout>
          <c:layoutTarget val="inner"/>
          <c:xMode val="edge"/>
          <c:yMode val="edge"/>
          <c:x val="0.27859778597785978"/>
          <c:y val="0.26666733440338142"/>
          <c:w val="0.43357933579335795"/>
          <c:h val="0.6025656113922560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099-40F9-879D-55A43AB58E6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099-40F9-879D-55A43AB58E6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1099-40F9-879D-55A43AB58E6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1099-40F9-879D-55A43AB58E6C}"/>
              </c:ext>
            </c:extLst>
          </c:dPt>
          <c:dLbls>
            <c:dLbl>
              <c:idx val="0"/>
              <c:layout>
                <c:manualLayout>
                  <c:x val="0.10132868351297543"/>
                  <c:y val="7.5621385394887705E-2"/>
                </c:manualLayout>
              </c:layout>
              <c:tx>
                <c:rich>
                  <a:bodyPr/>
                  <a:lstStyle/>
                  <a:p>
                    <a:fld id="{2935266E-C4B8-4AED-A6A2-3EF4EA0DEDA2}"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099-40F9-879D-55A43AB58E6C}"/>
                </c:ext>
              </c:extLst>
            </c:dLbl>
            <c:dLbl>
              <c:idx val="1"/>
              <c:layout>
                <c:manualLayout>
                  <c:x val="-0.16099848494547947"/>
                  <c:y val="-8.0539389984136012E-2"/>
                </c:manualLayout>
              </c:layout>
              <c:tx>
                <c:rich>
                  <a:bodyPr/>
                  <a:lstStyle/>
                  <a:p>
                    <a:fld id="{0FF87C37-F12F-46D7-B728-971FE545AF42}" type="CATEGORYNAME">
                      <a:rPr lang="en-US" b="1">
                        <a:solidFill>
                          <a:schemeClr val="bg1"/>
                        </a:solidFill>
                      </a:rPr>
                      <a:pPr/>
                      <a:t>[CATEGORY NAME]</a:t>
                    </a:fld>
                    <a:r>
                      <a:rPr lang="en-US" b="1" baseline="0">
                        <a:solidFill>
                          <a:schemeClr val="bg1"/>
                        </a:solidFill>
                      </a:rPr>
                      <a:t>
</a:t>
                    </a:r>
                    <a:fld id="{299DF784-1A49-4AC9-98CF-7CA4E1BE7A52}" type="PERCENTAGE">
                      <a:rPr lang="en-US" b="1" baseline="0">
                        <a:solidFill>
                          <a:schemeClr val="bg1"/>
                        </a:solidFill>
                      </a:rPr>
                      <a:pPr/>
                      <a:t>[PERCENTAGE]</a:t>
                    </a:fld>
                    <a:endParaRPr lang="en-US" b="1"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12576693766937666"/>
                      <c:h val="0.20826022944332448"/>
                    </c:manualLayout>
                  </c15:layout>
                  <c15:dlblFieldTable/>
                  <c15:showDataLabelsRange val="0"/>
                </c:ext>
                <c:ext xmlns:c16="http://schemas.microsoft.com/office/drawing/2014/chart" uri="{C3380CC4-5D6E-409C-BE32-E72D297353CC}">
                  <c16:uniqueId val="{00000002-1099-40F9-879D-55A43AB58E6C}"/>
                </c:ext>
              </c:extLst>
            </c:dLbl>
            <c:dLbl>
              <c:idx val="2"/>
              <c:layout>
                <c:manualLayout>
                  <c:x val="0.14265437552013316"/>
                  <c:y val="-0.18112038502384137"/>
                </c:manualLayout>
              </c:layout>
              <c:tx>
                <c:rich>
                  <a:bodyPr/>
                  <a:lstStyle/>
                  <a:p>
                    <a:fld id="{3767103E-F200-46FE-9897-0951E549592E}" type="CATEGORYNAME">
                      <a:rPr lang="en-US" b="1"/>
                      <a:pPr/>
                      <a:t>[CATEGORY NAME]</a:t>
                    </a:fld>
                    <a:r>
                      <a:rPr lang="en-US" baseline="0"/>
                      <a:t>
</a:t>
                    </a:r>
                    <a:fld id="{D0D8D547-916F-46D1-81D5-91A29946C789}"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19372349188058804"/>
                      <c:h val="0.12583854469502831"/>
                    </c:manualLayout>
                  </c15:layout>
                  <c15:dlblFieldTable/>
                  <c15:showDataLabelsRange val="0"/>
                </c:ext>
                <c:ext xmlns:c16="http://schemas.microsoft.com/office/drawing/2014/chart" uri="{C3380CC4-5D6E-409C-BE32-E72D297353CC}">
                  <c16:uniqueId val="{00000004-1099-40F9-879D-55A43AB58E6C}"/>
                </c:ext>
              </c:extLst>
            </c:dLbl>
            <c:dLbl>
              <c:idx val="3"/>
              <c:tx>
                <c:rich>
                  <a:bodyPr/>
                  <a:lstStyle/>
                  <a:p>
                    <a:fld id="{94863EEC-2E3D-4E13-B5B7-F9C74EE358D0}" type="CATEGORYNAME">
                      <a:rPr lang="en-US" b="1"/>
                      <a:pPr/>
                      <a:t>[CATEGORY NAME]</a:t>
                    </a:fld>
                    <a:r>
                      <a:rPr lang="en-US" b="1" baseline="0"/>
                      <a:t>
27%</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1099-40F9-879D-55A43AB58E6C}"/>
                </c:ext>
              </c:extLst>
            </c:dLbl>
            <c:dLbl>
              <c:idx val="5"/>
              <c:layout>
                <c:manualLayout>
                  <c:xMode val="edge"/>
                  <c:yMode val="edge"/>
                  <c:x val="0.46125461254612549"/>
                  <c:y val="0.110256686339859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99-40F9-879D-55A43AB58E6C}"/>
                </c:ext>
              </c:extLst>
            </c:dLbl>
            <c:dLbl>
              <c:idx val="6"/>
              <c:layout>
                <c:manualLayout>
                  <c:xMode val="edge"/>
                  <c:yMode val="edge"/>
                  <c:x val="0.29520295202952029"/>
                  <c:y val="0.148718321109578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099-40F9-879D-55A43AB58E6C}"/>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2023 Table A Pie'!$B$30:$B$31,'ES CT Electric 2023 Table A Pie'!$B$33:$B$34)</c:f>
              <c:strCache>
                <c:ptCount val="4"/>
                <c:pt idx="0">
                  <c:v>Res. Income-Eligible</c:v>
                </c:pt>
                <c:pt idx="1">
                  <c:v>Res. Non Income-Eligible</c:v>
                </c:pt>
                <c:pt idx="2">
                  <c:v>C&amp;I Small/Med</c:v>
                </c:pt>
                <c:pt idx="3">
                  <c:v>C&amp;I Large</c:v>
                </c:pt>
              </c:strCache>
            </c:strRef>
          </c:cat>
          <c:val>
            <c:numRef>
              <c:f>('ES CT Electric 2023 Table A Pie'!$F$30:$F$31,'ES CT Electric 2023 Table A Pie'!$F$33:$F$34)</c:f>
              <c:numCache>
                <c:formatCode>0%</c:formatCode>
                <c:ptCount val="4"/>
                <c:pt idx="0">
                  <c:v>0.13507678972929096</c:v>
                </c:pt>
                <c:pt idx="1">
                  <c:v>0.3613422000138552</c:v>
                </c:pt>
                <c:pt idx="2">
                  <c:v>0.22862577865661168</c:v>
                </c:pt>
                <c:pt idx="3">
                  <c:v>0.27495523160024221</c:v>
                </c:pt>
              </c:numCache>
            </c:numRef>
          </c:val>
          <c:extLst>
            <c:ext xmlns:c16="http://schemas.microsoft.com/office/drawing/2014/chart" uri="{C3380CC4-5D6E-409C-BE32-E72D297353CC}">
              <c16:uniqueId val="{00000009-1099-40F9-879D-55A43AB58E6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a:t>EE Revenue By Customer Class</a:t>
            </a:r>
          </a:p>
        </c:rich>
      </c:tx>
      <c:layout>
        <c:manualLayout>
          <c:xMode val="edge"/>
          <c:yMode val="edge"/>
          <c:x val="0.22112245870256317"/>
          <c:y val="3.3163265306122451E-2"/>
        </c:manualLayout>
      </c:layout>
      <c:overlay val="0"/>
      <c:spPr>
        <a:noFill/>
        <a:ln w="25400">
          <a:noFill/>
        </a:ln>
      </c:spPr>
    </c:title>
    <c:autoTitleDeleted val="0"/>
    <c:plotArea>
      <c:layout>
        <c:manualLayout>
          <c:layoutTarget val="inner"/>
          <c:xMode val="edge"/>
          <c:yMode val="edge"/>
          <c:x val="0.33498403817301942"/>
          <c:y val="0.31377551020408162"/>
          <c:w val="0.33828437352447777"/>
          <c:h val="0.5229591836734693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C2B-4EE3-98DB-81993095124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C2B-4EE3-98DB-81993095124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C2B-4EE3-98DB-81993095124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C2B-4EE3-98DB-81993095124F}"/>
              </c:ext>
            </c:extLst>
          </c:dPt>
          <c:dLbls>
            <c:dLbl>
              <c:idx val="0"/>
              <c:layout>
                <c:manualLayout>
                  <c:x val="9.6864192930994686E-2"/>
                  <c:y val="5.7609098549267324E-2"/>
                </c:manualLayout>
              </c:layout>
              <c:tx>
                <c:rich>
                  <a:bodyPr/>
                  <a:lstStyle/>
                  <a:p>
                    <a:r>
                      <a:rPr lang="en-US"/>
                      <a:t>Res. Income Eligible </a:t>
                    </a:r>
                  </a:p>
                  <a:p>
                    <a:r>
                      <a:rPr lang="en-US"/>
                      <a:t>13%</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C2B-4EE3-98DB-81993095124F}"/>
                </c:ext>
              </c:extLst>
            </c:dLbl>
            <c:dLbl>
              <c:idx val="1"/>
              <c:layout>
                <c:manualLayout>
                  <c:x val="-0.14444810679997008"/>
                  <c:y val="-2.8399805807020142E-2"/>
                </c:manualLayout>
              </c:layout>
              <c:tx>
                <c:rich>
                  <a:bodyPr/>
                  <a:lstStyle/>
                  <a:p>
                    <a:r>
                      <a:rPr lang="en-US" b="1">
                        <a:solidFill>
                          <a:schemeClr val="bg1"/>
                        </a:solidFill>
                      </a:rPr>
                      <a:t>Res. Non Income Eligible 37%</a:t>
                    </a:r>
                  </a:p>
                </c:rich>
              </c:tx>
              <c:showLegendKey val="0"/>
              <c:showVal val="1"/>
              <c:showCatName val="1"/>
              <c:showSerName val="0"/>
              <c:showPercent val="0"/>
              <c:showBubbleSize val="0"/>
              <c:extLst>
                <c:ext xmlns:c15="http://schemas.microsoft.com/office/drawing/2012/chart" uri="{CE6537A1-D6FC-4f65-9D91-7224C49458BB}">
                  <c15:layout>
                    <c:manualLayout>
                      <c:w val="0.13540464401282715"/>
                      <c:h val="0.25772800504985627"/>
                    </c:manualLayout>
                  </c15:layout>
                  <c15:showDataLabelsRange val="0"/>
                </c:ext>
                <c:ext xmlns:c16="http://schemas.microsoft.com/office/drawing/2014/chart" uri="{C3380CC4-5D6E-409C-BE32-E72D297353CC}">
                  <c16:uniqueId val="{00000002-7C2B-4EE3-98DB-81993095124F}"/>
                </c:ext>
              </c:extLst>
            </c:dLbl>
            <c:dLbl>
              <c:idx val="2"/>
              <c:tx>
                <c:rich>
                  <a:bodyPr/>
                  <a:lstStyle/>
                  <a:p>
                    <a:r>
                      <a:rPr lang="en-US" b="1"/>
                      <a:t>C&amp;I Small/Med 23%</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C2B-4EE3-98DB-81993095124F}"/>
                </c:ext>
              </c:extLst>
            </c:dLbl>
            <c:dLbl>
              <c:idx val="3"/>
              <c:tx>
                <c:rich>
                  <a:bodyPr/>
                  <a:lstStyle/>
                  <a:p>
                    <a:r>
                      <a:rPr lang="en-US" b="1"/>
                      <a:t>C&amp;I Large 27%</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C2B-4EE3-98DB-81993095124F}"/>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('ES CT Electric 2023 Table A-R'!$B$30:$B$31,'ES CT Electric 2023 Table A-R'!$B$33:$B$34,'ES CT Electric 2023 Table A-R'!$G$30:$G$31,'ES CT Electric 2023 Table A-R'!$G$33:$G$34)</c:f>
              <c:strCache>
                <c:ptCount val="8"/>
                <c:pt idx="0">
                  <c:v>Res. Income-Eligible</c:v>
                </c:pt>
                <c:pt idx="1">
                  <c:v>Res. Non Income-Eligible</c:v>
                </c:pt>
                <c:pt idx="2">
                  <c:v>C&amp;I Small/Med</c:v>
                </c:pt>
                <c:pt idx="3">
                  <c:v>C&amp;I Large</c:v>
                </c:pt>
                <c:pt idx="4">
                  <c:v>13%</c:v>
                </c:pt>
                <c:pt idx="5">
                  <c:v>37%</c:v>
                </c:pt>
                <c:pt idx="6">
                  <c:v>23%</c:v>
                </c:pt>
                <c:pt idx="7">
                  <c:v>28%</c:v>
                </c:pt>
              </c:strCache>
            </c:strRef>
          </c:cat>
          <c:val>
            <c:numRef>
              <c:f>('ES CT Electric 2023 Table A-R'!$G$30:$G$31,'ES CT Electric 2023 Table A-R'!$G$33:$G$34)</c:f>
              <c:numCache>
                <c:formatCode>0%</c:formatCode>
                <c:ptCount val="4"/>
                <c:pt idx="0">
                  <c:v>0.125</c:v>
                </c:pt>
                <c:pt idx="1">
                  <c:v>0.37040000000000001</c:v>
                </c:pt>
                <c:pt idx="2">
                  <c:v>0.2290884</c:v>
                </c:pt>
                <c:pt idx="3">
                  <c:v>0.27551159999999991</c:v>
                </c:pt>
              </c:numCache>
            </c:numRef>
          </c:val>
          <c:extLst>
            <c:ext xmlns:c16="http://schemas.microsoft.com/office/drawing/2014/chart" uri="{C3380CC4-5D6E-409C-BE32-E72D297353CC}">
              <c16:uniqueId val="{00000007-7C2B-4EE3-98DB-81993095124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sz="1500" baseline="0"/>
              <a:t>EE Budget By Customer Class</a:t>
            </a:r>
          </a:p>
        </c:rich>
      </c:tx>
      <c:layout>
        <c:manualLayout>
          <c:xMode val="edge"/>
          <c:yMode val="edge"/>
          <c:x val="0.25645759144971741"/>
          <c:y val="3.3333333333333333E-2"/>
        </c:manualLayout>
      </c:layout>
      <c:overlay val="0"/>
      <c:spPr>
        <a:noFill/>
        <a:ln w="25400">
          <a:noFill/>
        </a:ln>
      </c:spPr>
    </c:title>
    <c:autoTitleDeleted val="0"/>
    <c:plotArea>
      <c:layout>
        <c:manualLayout>
          <c:layoutTarget val="inner"/>
          <c:xMode val="edge"/>
          <c:yMode val="edge"/>
          <c:x val="0.27859778597785978"/>
          <c:y val="0.26666733440338142"/>
          <c:w val="0.43357933579335795"/>
          <c:h val="0.6025656113922560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B50-4D61-A9F0-536ADE6C02D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B50-4D61-A9F0-536ADE6C02D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0B50-4D61-A9F0-536ADE6C02D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0B50-4D61-A9F0-536ADE6C02DE}"/>
              </c:ext>
            </c:extLst>
          </c:dPt>
          <c:dLbls>
            <c:dLbl>
              <c:idx val="0"/>
              <c:layout>
                <c:manualLayout>
                  <c:x val="0.10132868351297543"/>
                  <c:y val="7.5621385394887705E-2"/>
                </c:manualLayout>
              </c:layout>
              <c:tx>
                <c:rich>
                  <a:bodyPr/>
                  <a:lstStyle/>
                  <a:p>
                    <a:fld id="{2935266E-C4B8-4AED-A6A2-3EF4EA0DEDA2}" type="CATEGORYNAME">
                      <a:rPr lang="en-US"/>
                      <a:pPr/>
                      <a:t>[CATEGORY NAME]</a:t>
                    </a:fld>
                    <a:r>
                      <a:rPr lang="en-US" baseline="0"/>
                      <a:t>
14%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B50-4D61-A9F0-536ADE6C02DE}"/>
                </c:ext>
              </c:extLst>
            </c:dLbl>
            <c:dLbl>
              <c:idx val="1"/>
              <c:layout>
                <c:manualLayout>
                  <c:x val="-0.16099848494547947"/>
                  <c:y val="-8.0539389984136012E-2"/>
                </c:manualLayout>
              </c:layout>
              <c:tx>
                <c:rich>
                  <a:bodyPr/>
                  <a:lstStyle/>
                  <a:p>
                    <a:fld id="{0FF87C37-F12F-46D7-B728-971FE545AF42}" type="CATEGORYNAME">
                      <a:rPr lang="en-US" b="1">
                        <a:solidFill>
                          <a:schemeClr val="bg1"/>
                        </a:solidFill>
                      </a:rPr>
                      <a:pPr/>
                      <a:t>[CATEGORY NAME]</a:t>
                    </a:fld>
                    <a:r>
                      <a:rPr lang="en-US" b="1" baseline="0">
                        <a:solidFill>
                          <a:schemeClr val="bg1"/>
                        </a:solidFill>
                      </a:rPr>
                      <a:t>
</a:t>
                    </a:r>
                    <a:fld id="{299DF784-1A49-4AC9-98CF-7CA4E1BE7A52}" type="PERCENTAGE">
                      <a:rPr lang="en-US" b="1" baseline="0">
                        <a:solidFill>
                          <a:schemeClr val="bg1"/>
                        </a:solidFill>
                      </a:rPr>
                      <a:pPr/>
                      <a:t>[PERCENTAGE]</a:t>
                    </a:fld>
                    <a:endParaRPr lang="en-US" b="1"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12576693766937666"/>
                      <c:h val="0.20826022944332448"/>
                    </c:manualLayout>
                  </c15:layout>
                  <c15:dlblFieldTable/>
                  <c15:showDataLabelsRange val="0"/>
                </c:ext>
                <c:ext xmlns:c16="http://schemas.microsoft.com/office/drawing/2014/chart" uri="{C3380CC4-5D6E-409C-BE32-E72D297353CC}">
                  <c16:uniqueId val="{00000002-0B50-4D61-A9F0-536ADE6C02DE}"/>
                </c:ext>
              </c:extLst>
            </c:dLbl>
            <c:dLbl>
              <c:idx val="2"/>
              <c:layout>
                <c:manualLayout>
                  <c:x val="0.14265437552013316"/>
                  <c:y val="-0.18112038502384137"/>
                </c:manualLayout>
              </c:layout>
              <c:tx>
                <c:rich>
                  <a:bodyPr/>
                  <a:lstStyle/>
                  <a:p>
                    <a:fld id="{3767103E-F200-46FE-9897-0951E549592E}" type="CATEGORYNAME">
                      <a:rPr lang="en-US" b="1"/>
                      <a:pPr/>
                      <a:t>[CATEGORY NAME]</a:t>
                    </a:fld>
                    <a:r>
                      <a:rPr lang="en-US" baseline="0"/>
                      <a:t>
</a:t>
                    </a:r>
                    <a:fld id="{D0D8D547-916F-46D1-81D5-91A29946C789}"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19372349188058804"/>
                      <c:h val="0.12583854469502831"/>
                    </c:manualLayout>
                  </c15:layout>
                  <c15:dlblFieldTable/>
                  <c15:showDataLabelsRange val="0"/>
                </c:ext>
                <c:ext xmlns:c16="http://schemas.microsoft.com/office/drawing/2014/chart" uri="{C3380CC4-5D6E-409C-BE32-E72D297353CC}">
                  <c16:uniqueId val="{00000004-0B50-4D61-A9F0-536ADE6C02DE}"/>
                </c:ext>
              </c:extLst>
            </c:dLbl>
            <c:dLbl>
              <c:idx val="3"/>
              <c:tx>
                <c:rich>
                  <a:bodyPr/>
                  <a:lstStyle/>
                  <a:p>
                    <a:fld id="{94863EEC-2E3D-4E13-B5B7-F9C74EE358D0}" type="CATEGORYNAME">
                      <a:rPr lang="en-US" b="1"/>
                      <a:pPr/>
                      <a:t>[CATEGORY NAME]</a:t>
                    </a:fld>
                    <a:r>
                      <a:rPr lang="en-US" b="1" baseline="0"/>
                      <a:t>
27%</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B50-4D61-A9F0-536ADE6C02DE}"/>
                </c:ext>
              </c:extLst>
            </c:dLbl>
            <c:dLbl>
              <c:idx val="5"/>
              <c:layout>
                <c:manualLayout>
                  <c:xMode val="edge"/>
                  <c:yMode val="edge"/>
                  <c:x val="0.46125461254612549"/>
                  <c:y val="0.110256686339859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B50-4D61-A9F0-536ADE6C02DE}"/>
                </c:ext>
              </c:extLst>
            </c:dLbl>
            <c:dLbl>
              <c:idx val="6"/>
              <c:layout>
                <c:manualLayout>
                  <c:xMode val="edge"/>
                  <c:yMode val="edge"/>
                  <c:x val="0.29520295202952029"/>
                  <c:y val="0.148718321109578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B50-4D61-A9F0-536ADE6C02DE}"/>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2023 Table A-R'!$B$30:$B$31,'ES CT Electric 2023 Table A-R'!$B$33:$B$34)</c:f>
              <c:strCache>
                <c:ptCount val="4"/>
                <c:pt idx="0">
                  <c:v>Res. Income-Eligible</c:v>
                </c:pt>
                <c:pt idx="1">
                  <c:v>Res. Non Income-Eligible</c:v>
                </c:pt>
                <c:pt idx="2">
                  <c:v>C&amp;I Small/Med</c:v>
                </c:pt>
                <c:pt idx="3">
                  <c:v>C&amp;I Large</c:v>
                </c:pt>
              </c:strCache>
            </c:strRef>
          </c:cat>
          <c:val>
            <c:numRef>
              <c:f>('ES CT Electric 2023 Table A-R'!$F$30:$F$31,'ES CT Electric 2023 Table A-R'!$F$33:$F$34)</c:f>
              <c:numCache>
                <c:formatCode>0%</c:formatCode>
                <c:ptCount val="4"/>
                <c:pt idx="0">
                  <c:v>0.13507678972929096</c:v>
                </c:pt>
                <c:pt idx="1">
                  <c:v>0.3613422000138552</c:v>
                </c:pt>
                <c:pt idx="2">
                  <c:v>0.22862577865661168</c:v>
                </c:pt>
                <c:pt idx="3">
                  <c:v>0.27495523160024221</c:v>
                </c:pt>
              </c:numCache>
            </c:numRef>
          </c:val>
          <c:extLst>
            <c:ext xmlns:c16="http://schemas.microsoft.com/office/drawing/2014/chart" uri="{C3380CC4-5D6E-409C-BE32-E72D297353CC}">
              <c16:uniqueId val="{00000009-0B50-4D61-A9F0-536ADE6C02D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a:t>EE Revenue By Customer Class</a:t>
            </a:r>
          </a:p>
        </c:rich>
      </c:tx>
      <c:layout>
        <c:manualLayout>
          <c:xMode val="edge"/>
          <c:yMode val="edge"/>
          <c:x val="0.22112245870256317"/>
          <c:y val="3.3163265306122451E-2"/>
        </c:manualLayout>
      </c:layout>
      <c:overlay val="0"/>
      <c:spPr>
        <a:noFill/>
        <a:ln w="25400">
          <a:noFill/>
        </a:ln>
      </c:spPr>
    </c:title>
    <c:autoTitleDeleted val="0"/>
    <c:plotArea>
      <c:layout>
        <c:manualLayout>
          <c:layoutTarget val="inner"/>
          <c:xMode val="edge"/>
          <c:yMode val="edge"/>
          <c:x val="0.33498403817301942"/>
          <c:y val="0.31377551020408162"/>
          <c:w val="0.33828437352447777"/>
          <c:h val="0.5229591836734693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C5C-4801-B697-343312FE03E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C5C-4801-B697-343312FE03E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C5C-4801-B697-343312FE03E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C5C-4801-B697-343312FE03EF}"/>
              </c:ext>
            </c:extLst>
          </c:dPt>
          <c:dLbls>
            <c:dLbl>
              <c:idx val="0"/>
              <c:layout>
                <c:manualLayout>
                  <c:x val="9.6864192930994686E-2"/>
                  <c:y val="5.7609098549267324E-2"/>
                </c:manualLayout>
              </c:layout>
              <c:tx>
                <c:rich>
                  <a:bodyPr/>
                  <a:lstStyle/>
                  <a:p>
                    <a:r>
                      <a:rPr lang="en-US"/>
                      <a:t>Res. Income Eligible </a:t>
                    </a:r>
                  </a:p>
                  <a:p>
                    <a:r>
                      <a:rPr lang="en-US"/>
                      <a:t>13%</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C5C-4801-B697-343312FE03EF}"/>
                </c:ext>
              </c:extLst>
            </c:dLbl>
            <c:dLbl>
              <c:idx val="1"/>
              <c:layout>
                <c:manualLayout>
                  <c:x val="-0.14444813800021522"/>
                  <c:y val="-8.7404053486906205E-2"/>
                </c:manualLayout>
              </c:layout>
              <c:tx>
                <c:rich>
                  <a:bodyPr/>
                  <a:lstStyle/>
                  <a:p>
                    <a:r>
                      <a:rPr lang="en-US" b="1">
                        <a:solidFill>
                          <a:schemeClr val="bg1"/>
                        </a:solidFill>
                      </a:rPr>
                      <a:t>Res. Non Income Eligible 37%</a:t>
                    </a:r>
                  </a:p>
                </c:rich>
              </c:tx>
              <c:showLegendKey val="0"/>
              <c:showVal val="1"/>
              <c:showCatName val="1"/>
              <c:showSerName val="0"/>
              <c:showPercent val="0"/>
              <c:showBubbleSize val="0"/>
              <c:extLst>
                <c:ext xmlns:c15="http://schemas.microsoft.com/office/drawing/2012/chart" uri="{CE6537A1-D6FC-4f65-9D91-7224C49458BB}">
                  <c15:layout>
                    <c:manualLayout>
                      <c:w val="0.13540464401282715"/>
                      <c:h val="0.25772800504985627"/>
                    </c:manualLayout>
                  </c15:layout>
                  <c15:showDataLabelsRange val="0"/>
                </c:ext>
                <c:ext xmlns:c16="http://schemas.microsoft.com/office/drawing/2014/chart" uri="{C3380CC4-5D6E-409C-BE32-E72D297353CC}">
                  <c16:uniqueId val="{00000002-5C5C-4801-B697-343312FE03EF}"/>
                </c:ext>
              </c:extLst>
            </c:dLbl>
            <c:dLbl>
              <c:idx val="2"/>
              <c:tx>
                <c:rich>
                  <a:bodyPr/>
                  <a:lstStyle/>
                  <a:p>
                    <a:r>
                      <a:rPr lang="en-US" b="1"/>
                      <a:t>C&amp;I Small/Med 23%</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5C-4801-B697-343312FE03EF}"/>
                </c:ext>
              </c:extLst>
            </c:dLbl>
            <c:dLbl>
              <c:idx val="3"/>
              <c:tx>
                <c:rich>
                  <a:bodyPr/>
                  <a:lstStyle/>
                  <a:p>
                    <a:r>
                      <a:rPr lang="en-US" b="1"/>
                      <a:t>C&amp;I Large 27%</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5C-4801-B697-343312FE03EF}"/>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('ES CT Electric 2024 Table A Pie'!$B$30:$B$31,'ES CT Electric 2024 Table A Pie'!$B$33:$B$34,'ES CT Electric 2024 Table A Pie'!$G$30:$G$31,'ES CT Electric 2024 Table A Pie'!$G$33:$G$34)</c:f>
              <c:strCache>
                <c:ptCount val="8"/>
                <c:pt idx="0">
                  <c:v>Res. Income-Eligible</c:v>
                </c:pt>
                <c:pt idx="1">
                  <c:v>Res. Non Income-Eligible</c:v>
                </c:pt>
                <c:pt idx="2">
                  <c:v>C&amp;I Small/Med</c:v>
                </c:pt>
                <c:pt idx="3">
                  <c:v>C&amp;I Large</c:v>
                </c:pt>
                <c:pt idx="4">
                  <c:v>13%</c:v>
                </c:pt>
                <c:pt idx="5">
                  <c:v>38%</c:v>
                </c:pt>
                <c:pt idx="6">
                  <c:v>23%</c:v>
                </c:pt>
                <c:pt idx="7">
                  <c:v>27%</c:v>
                </c:pt>
              </c:strCache>
            </c:strRef>
          </c:cat>
          <c:val>
            <c:numRef>
              <c:f>('ES CT Electric 2024 Table A Pie'!$G$30:$G$31,'ES CT Electric 2024 Table A Pie'!$G$33:$G$34)</c:f>
              <c:numCache>
                <c:formatCode>0%</c:formatCode>
                <c:ptCount val="4"/>
                <c:pt idx="0">
                  <c:v>0.125</c:v>
                </c:pt>
                <c:pt idx="1">
                  <c:v>0.37619999999999998</c:v>
                </c:pt>
                <c:pt idx="2">
                  <c:v>0.22645520000000002</c:v>
                </c:pt>
                <c:pt idx="3">
                  <c:v>0.2723448</c:v>
                </c:pt>
              </c:numCache>
            </c:numRef>
          </c:val>
          <c:extLst>
            <c:ext xmlns:c16="http://schemas.microsoft.com/office/drawing/2014/chart" uri="{C3380CC4-5D6E-409C-BE32-E72D297353CC}">
              <c16:uniqueId val="{00000007-5C5C-4801-B697-343312FE03E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sz="1500" baseline="0"/>
              <a:t>EE Budget By Customer Class</a:t>
            </a:r>
          </a:p>
        </c:rich>
      </c:tx>
      <c:layout>
        <c:manualLayout>
          <c:xMode val="edge"/>
          <c:yMode val="edge"/>
          <c:x val="0.25645759144971741"/>
          <c:y val="3.3333333333333333E-2"/>
        </c:manualLayout>
      </c:layout>
      <c:overlay val="0"/>
      <c:spPr>
        <a:noFill/>
        <a:ln w="25400">
          <a:noFill/>
        </a:ln>
      </c:spPr>
    </c:title>
    <c:autoTitleDeleted val="0"/>
    <c:plotArea>
      <c:layout>
        <c:manualLayout>
          <c:layoutTarget val="inner"/>
          <c:xMode val="edge"/>
          <c:yMode val="edge"/>
          <c:x val="0.27859778597785978"/>
          <c:y val="0.26666733440338142"/>
          <c:w val="0.43357933579335795"/>
          <c:h val="0.6025656113922560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6CE-481B-92BD-EF8324E4CF1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6CE-481B-92BD-EF8324E4CF1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D6CE-481B-92BD-EF8324E4CF1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D6CE-481B-92BD-EF8324E4CF18}"/>
              </c:ext>
            </c:extLst>
          </c:dPt>
          <c:dLbls>
            <c:dLbl>
              <c:idx val="0"/>
              <c:layout>
                <c:manualLayout>
                  <c:x val="0.10132868351297543"/>
                  <c:y val="7.5621385394887705E-2"/>
                </c:manualLayout>
              </c:layout>
              <c:tx>
                <c:rich>
                  <a:bodyPr/>
                  <a:lstStyle/>
                  <a:p>
                    <a:fld id="{1921E6D5-795D-4D6C-B7F8-8735DD6927F3}" type="CATEGORYNAME">
                      <a:rPr lang="en-US"/>
                      <a:pPr/>
                      <a:t>[CATEGORY NAME]</a:t>
                    </a:fld>
                    <a:r>
                      <a:rPr lang="en-US" baseline="0"/>
                      <a:t>
13%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6CE-481B-92BD-EF8324E4CF18}"/>
                </c:ext>
              </c:extLst>
            </c:dLbl>
            <c:dLbl>
              <c:idx val="1"/>
              <c:layout>
                <c:manualLayout>
                  <c:x val="-0.15449441990482904"/>
                  <c:y val="-9.8657568755700031E-2"/>
                </c:manualLayout>
              </c:layout>
              <c:tx>
                <c:rich>
                  <a:bodyPr/>
                  <a:lstStyle/>
                  <a:p>
                    <a:fld id="{0FF87C37-F12F-46D7-B728-971FE545AF42}" type="CATEGORYNAME">
                      <a:rPr lang="en-US" b="1">
                        <a:solidFill>
                          <a:schemeClr val="bg1"/>
                        </a:solidFill>
                      </a:rPr>
                      <a:pPr/>
                      <a:t>[CATEGORY NAME]</a:t>
                    </a:fld>
                    <a:r>
                      <a:rPr lang="en-US" b="1" baseline="0">
                        <a:solidFill>
                          <a:schemeClr val="bg1"/>
                        </a:solidFill>
                      </a:rPr>
                      <a:t>
</a:t>
                    </a:r>
                    <a:fld id="{299DF784-1A49-4AC9-98CF-7CA4E1BE7A52}" type="PERCENTAGE">
                      <a:rPr lang="en-US" b="1" baseline="0">
                        <a:solidFill>
                          <a:schemeClr val="bg1"/>
                        </a:solidFill>
                      </a:rPr>
                      <a:pPr/>
                      <a:t>[PERCENTAGE]</a:t>
                    </a:fld>
                    <a:endParaRPr lang="en-US" b="1"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6CE-481B-92BD-EF8324E4CF18}"/>
                </c:ext>
              </c:extLst>
            </c:dLbl>
            <c:dLbl>
              <c:idx val="2"/>
              <c:layout>
                <c:manualLayout>
                  <c:x val="0.13398228879926599"/>
                  <c:y val="-0.17782609868532315"/>
                </c:manualLayout>
              </c:layout>
              <c:tx>
                <c:rich>
                  <a:bodyPr/>
                  <a:lstStyle/>
                  <a:p>
                    <a:fld id="{3767103E-F200-46FE-9897-0951E549592E}" type="CATEGORYNAME">
                      <a:rPr lang="en-US" b="1"/>
                      <a:pPr/>
                      <a:t>[CATEGORY NAME]</a:t>
                    </a:fld>
                    <a:r>
                      <a:rPr lang="en-US" baseline="0"/>
                      <a:t>
</a:t>
                    </a:r>
                    <a:fld id="{D0D8D547-916F-46D1-81D5-91A29946C789}"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19372349188058804"/>
                      <c:h val="0.12583854469502831"/>
                    </c:manualLayout>
                  </c15:layout>
                  <c15:dlblFieldTable/>
                  <c15:showDataLabelsRange val="0"/>
                </c:ext>
                <c:ext xmlns:c16="http://schemas.microsoft.com/office/drawing/2014/chart" uri="{C3380CC4-5D6E-409C-BE32-E72D297353CC}">
                  <c16:uniqueId val="{00000004-D6CE-481B-92BD-EF8324E4CF18}"/>
                </c:ext>
              </c:extLst>
            </c:dLbl>
            <c:dLbl>
              <c:idx val="3"/>
              <c:tx>
                <c:rich>
                  <a:bodyPr/>
                  <a:lstStyle/>
                  <a:p>
                    <a:fld id="{94863EEC-2E3D-4E13-B5B7-F9C74EE358D0}" type="CATEGORYNAME">
                      <a:rPr lang="en-US" b="1"/>
                      <a:pPr/>
                      <a:t>[CATEGORY NAME]</a:t>
                    </a:fld>
                    <a:r>
                      <a:rPr lang="en-US" b="1" baseline="0"/>
                      <a:t>
</a:t>
                    </a:r>
                    <a:fld id="{29750761-8CCA-4D33-9CBD-DC318934353C}" type="PERCENTAGE">
                      <a:rPr lang="en-US" b="1" baseline="0"/>
                      <a:pPr/>
                      <a:t>[PERCENTAGE]</a:t>
                    </a:fld>
                    <a:endParaRPr lang="en-US" b="1"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6CE-481B-92BD-EF8324E4CF18}"/>
                </c:ext>
              </c:extLst>
            </c:dLbl>
            <c:dLbl>
              <c:idx val="5"/>
              <c:layout>
                <c:manualLayout>
                  <c:xMode val="edge"/>
                  <c:yMode val="edge"/>
                  <c:x val="0.46125461254612549"/>
                  <c:y val="0.110256686339859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6CE-481B-92BD-EF8324E4CF18}"/>
                </c:ext>
              </c:extLst>
            </c:dLbl>
            <c:dLbl>
              <c:idx val="6"/>
              <c:layout>
                <c:manualLayout>
                  <c:xMode val="edge"/>
                  <c:yMode val="edge"/>
                  <c:x val="0.29520295202952029"/>
                  <c:y val="0.148718321109578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6CE-481B-92BD-EF8324E4CF18}"/>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2024 Table A Pie'!$B$30:$B$31,'ES CT Electric 2024 Table A Pie'!$B$33:$B$34)</c:f>
              <c:strCache>
                <c:ptCount val="4"/>
                <c:pt idx="0">
                  <c:v>Res. Income-Eligible</c:v>
                </c:pt>
                <c:pt idx="1">
                  <c:v>Res. Non Income-Eligible</c:v>
                </c:pt>
                <c:pt idx="2">
                  <c:v>C&amp;I Small/Med</c:v>
                </c:pt>
                <c:pt idx="3">
                  <c:v>C&amp;I Large</c:v>
                </c:pt>
              </c:strCache>
            </c:strRef>
          </c:cat>
          <c:val>
            <c:numRef>
              <c:f>('ES CT Electric 2024 Table A Pie'!$F$30:$F$31,'ES CT Electric 2024 Table A Pie'!$F$33:$F$34)</c:f>
              <c:numCache>
                <c:formatCode>0%</c:formatCode>
                <c:ptCount val="4"/>
                <c:pt idx="0">
                  <c:v>0.13275014691655657</c:v>
                </c:pt>
                <c:pt idx="1">
                  <c:v>0.36073147984849141</c:v>
                </c:pt>
                <c:pt idx="2">
                  <c:v>0.22995934144866825</c:v>
                </c:pt>
                <c:pt idx="3">
                  <c:v>0.27655903178628383</c:v>
                </c:pt>
              </c:numCache>
            </c:numRef>
          </c:val>
          <c:extLst>
            <c:ext xmlns:c16="http://schemas.microsoft.com/office/drawing/2014/chart" uri="{C3380CC4-5D6E-409C-BE32-E72D297353CC}">
              <c16:uniqueId val="{00000009-D6CE-481B-92BD-EF8324E4CF1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52736088477544"/>
          <c:y val="0.26250032043496146"/>
          <c:w val="0.39300490492562234"/>
          <c:h val="0.4775005828864536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07A-4A84-8904-6766652EB02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07A-4A84-8904-6766652EB02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107A-4A84-8904-6766652EB02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107A-4A84-8904-6766652EB02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107A-4A84-8904-6766652EB02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107A-4A84-8904-6766652EB02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107A-4A84-8904-6766652EB02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107A-4A84-8904-6766652EB02A}"/>
              </c:ext>
            </c:extLst>
          </c:dPt>
          <c:dLbls>
            <c:dLbl>
              <c:idx val="0"/>
              <c:layout>
                <c:manualLayout>
                  <c:x val="0.18963049067368878"/>
                  <c:y val="-0.123495473970750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07A-4A84-8904-6766652EB02A}"/>
                </c:ext>
              </c:extLst>
            </c:dLbl>
            <c:dLbl>
              <c:idx val="1"/>
              <c:layout>
                <c:manualLayout>
                  <c:x val="0.17460212481981274"/>
                  <c:y val="1.0168201781216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07A-4A84-8904-6766652EB02A}"/>
                </c:ext>
              </c:extLst>
            </c:dLbl>
            <c:dLbl>
              <c:idx val="2"/>
              <c:layout>
                <c:manualLayout>
                  <c:x val="0.15970055996839777"/>
                  <c:y val="0.115289727126990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07A-4A84-8904-6766652EB02A}"/>
                </c:ext>
              </c:extLst>
            </c:dLbl>
            <c:dLbl>
              <c:idx val="3"/>
              <c:layout>
                <c:manualLayout>
                  <c:x val="0.10362821686180858"/>
                  <c:y val="0.20910921987398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07A-4A84-8904-6766652EB02A}"/>
                </c:ext>
              </c:extLst>
            </c:dLbl>
            <c:dLbl>
              <c:idx val="4"/>
              <c:layout>
                <c:manualLayout>
                  <c:x val="-1.4048333403762813E-4"/>
                  <c:y val="5.3813457291673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07A-4A84-8904-6766652EB02A}"/>
                </c:ext>
              </c:extLst>
            </c:dLbl>
            <c:dLbl>
              <c:idx val="5"/>
              <c:layout>
                <c:manualLayout>
                  <c:x val="-0.1602631617645203"/>
                  <c:y val="0.14348231701039482"/>
                </c:manualLayout>
              </c:layout>
              <c:tx>
                <c:rich>
                  <a:bodyPr/>
                  <a:lstStyle/>
                  <a:p>
                    <a:fld id="{6BE08B49-6E58-46D8-884F-E586C99A4B3F}" type="CATEGORYNAME">
                      <a:rPr lang="en-US"/>
                      <a:pPr/>
                      <a:t>[CATEGORY NAME]</a:t>
                    </a:fld>
                    <a:r>
                      <a:rPr lang="en-US" baseline="0"/>
                      <a:t>
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107A-4A84-8904-6766652EB02A}"/>
                </c:ext>
              </c:extLst>
            </c:dLbl>
            <c:dLbl>
              <c:idx val="6"/>
              <c:layout>
                <c:manualLayout>
                  <c:x val="-0.24783471723880721"/>
                  <c:y val="-1.5218699273295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07A-4A84-8904-6766652EB02A}"/>
                </c:ext>
              </c:extLst>
            </c:dLbl>
            <c:dLbl>
              <c:idx val="7"/>
              <c:layout>
                <c:manualLayout>
                  <c:x val="-0.10863259743761035"/>
                  <c:y val="-8.32595281725473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07A-4A84-8904-6766652EB02A}"/>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2021 Table C Pie'!$B$36:$B$43</c:f>
              <c:strCache>
                <c:ptCount val="8"/>
                <c:pt idx="0">
                  <c:v>Labor</c:v>
                </c:pt>
                <c:pt idx="1">
                  <c:v>Materials &amp; Supplies</c:v>
                </c:pt>
                <c:pt idx="2">
                  <c:v>Outside Services</c:v>
                </c:pt>
                <c:pt idx="3">
                  <c:v>Contractor Labor</c:v>
                </c:pt>
                <c:pt idx="4">
                  <c:v>Incentives</c:v>
                </c:pt>
                <c:pt idx="5">
                  <c:v>Marketing</c:v>
                </c:pt>
                <c:pt idx="6">
                  <c:v>Other </c:v>
                </c:pt>
                <c:pt idx="7">
                  <c:v>Administrative Expenses</c:v>
                </c:pt>
              </c:strCache>
            </c:strRef>
          </c:cat>
          <c:val>
            <c:numRef>
              <c:f>'ES CT Electric 2021 Table C Pie'!$C$36:$C$43</c:f>
              <c:numCache>
                <c:formatCode>_("$"* #,##0_);_("$"* \(#,##0\);_("$"* "-"_);_(@_)</c:formatCode>
                <c:ptCount val="8"/>
                <c:pt idx="0">
                  <c:v>12873.477457667408</c:v>
                </c:pt>
                <c:pt idx="1">
                  <c:v>36</c:v>
                </c:pt>
                <c:pt idx="2">
                  <c:v>10690.352248591387</c:v>
                </c:pt>
                <c:pt idx="3">
                  <c:v>1324.2058100000002</c:v>
                </c:pt>
                <c:pt idx="4">
                  <c:v>123724.58662581752</c:v>
                </c:pt>
                <c:pt idx="5">
                  <c:v>4037.0607300000006</c:v>
                </c:pt>
                <c:pt idx="6">
                  <c:v>9045.4557279236797</c:v>
                </c:pt>
                <c:pt idx="7">
                  <c:v>1140.0137500000001</c:v>
                </c:pt>
              </c:numCache>
            </c:numRef>
          </c:val>
          <c:extLst>
            <c:ext xmlns:c16="http://schemas.microsoft.com/office/drawing/2014/chart" uri="{C3380CC4-5D6E-409C-BE32-E72D297353CC}">
              <c16:uniqueId val="{0000000F-107A-4A84-8904-6766652EB02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a:t>EE Revenue By Customer Class</a:t>
            </a:r>
          </a:p>
        </c:rich>
      </c:tx>
      <c:layout>
        <c:manualLayout>
          <c:xMode val="edge"/>
          <c:yMode val="edge"/>
          <c:x val="0.22112245870256317"/>
          <c:y val="3.3163265306122451E-2"/>
        </c:manualLayout>
      </c:layout>
      <c:overlay val="0"/>
      <c:spPr>
        <a:noFill/>
        <a:ln w="25400">
          <a:noFill/>
        </a:ln>
      </c:spPr>
    </c:title>
    <c:autoTitleDeleted val="0"/>
    <c:plotArea>
      <c:layout>
        <c:manualLayout>
          <c:layoutTarget val="inner"/>
          <c:xMode val="edge"/>
          <c:yMode val="edge"/>
          <c:x val="0.33498403817301942"/>
          <c:y val="0.31377551020408162"/>
          <c:w val="0.33828437352447777"/>
          <c:h val="0.5229591836734693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909-4761-9C4B-E0DDB7F5C3A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909-4761-9C4B-E0DDB7F5C3A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909-4761-9C4B-E0DDB7F5C3A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909-4761-9C4B-E0DDB7F5C3AC}"/>
              </c:ext>
            </c:extLst>
          </c:dPt>
          <c:dLbls>
            <c:dLbl>
              <c:idx val="0"/>
              <c:layout>
                <c:manualLayout>
                  <c:x val="9.6864192930994686E-2"/>
                  <c:y val="5.7609098549267324E-2"/>
                </c:manualLayout>
              </c:layout>
              <c:tx>
                <c:rich>
                  <a:bodyPr/>
                  <a:lstStyle/>
                  <a:p>
                    <a:r>
                      <a:rPr lang="en-US"/>
                      <a:t>Res. Income Eligible </a:t>
                    </a:r>
                  </a:p>
                  <a:p>
                    <a:r>
                      <a:rPr lang="en-US"/>
                      <a:t>13%</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909-4761-9C4B-E0DDB7F5C3AC}"/>
                </c:ext>
              </c:extLst>
            </c:dLbl>
            <c:dLbl>
              <c:idx val="1"/>
              <c:layout>
                <c:manualLayout>
                  <c:x val="-0.14444813800021522"/>
                  <c:y val="-8.7404053486906205E-2"/>
                </c:manualLayout>
              </c:layout>
              <c:tx>
                <c:rich>
                  <a:bodyPr/>
                  <a:lstStyle/>
                  <a:p>
                    <a:r>
                      <a:rPr lang="en-US" b="1">
                        <a:solidFill>
                          <a:schemeClr val="bg1"/>
                        </a:solidFill>
                      </a:rPr>
                      <a:t>Res. Non Income Eligible 37%</a:t>
                    </a:r>
                  </a:p>
                </c:rich>
              </c:tx>
              <c:showLegendKey val="0"/>
              <c:showVal val="1"/>
              <c:showCatName val="1"/>
              <c:showSerName val="0"/>
              <c:showPercent val="0"/>
              <c:showBubbleSize val="0"/>
              <c:extLst>
                <c:ext xmlns:c15="http://schemas.microsoft.com/office/drawing/2012/chart" uri="{CE6537A1-D6FC-4f65-9D91-7224C49458BB}">
                  <c15:layout>
                    <c:manualLayout>
                      <c:w val="0.13540464401282715"/>
                      <c:h val="0.25772800504985627"/>
                    </c:manualLayout>
                  </c15:layout>
                  <c15:showDataLabelsRange val="0"/>
                </c:ext>
                <c:ext xmlns:c16="http://schemas.microsoft.com/office/drawing/2014/chart" uri="{C3380CC4-5D6E-409C-BE32-E72D297353CC}">
                  <c16:uniqueId val="{00000002-8909-4761-9C4B-E0DDB7F5C3AC}"/>
                </c:ext>
              </c:extLst>
            </c:dLbl>
            <c:dLbl>
              <c:idx val="2"/>
              <c:tx>
                <c:rich>
                  <a:bodyPr/>
                  <a:lstStyle/>
                  <a:p>
                    <a:r>
                      <a:rPr lang="en-US" b="1"/>
                      <a:t>C&amp;I Small/Med 23%</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09-4761-9C4B-E0DDB7F5C3AC}"/>
                </c:ext>
              </c:extLst>
            </c:dLbl>
            <c:dLbl>
              <c:idx val="3"/>
              <c:tx>
                <c:rich>
                  <a:bodyPr/>
                  <a:lstStyle/>
                  <a:p>
                    <a:r>
                      <a:rPr lang="en-US" b="1"/>
                      <a:t>C&amp;I Large 27%</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09-4761-9C4B-E0DDB7F5C3AC}"/>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('ES CT Electric 2024 Table A-R'!$B$30:$B$31,'ES CT Electric 2024 Table A-R'!$B$33:$B$34,'ES CT Electric 2024 Table A-R'!$G$30:$G$31,'ES CT Electric 2024 Table A-R'!$G$33:$G$34)</c:f>
              <c:strCache>
                <c:ptCount val="8"/>
                <c:pt idx="0">
                  <c:v>Res. Income-Eligible</c:v>
                </c:pt>
                <c:pt idx="1">
                  <c:v>Res. Non Income-Eligible</c:v>
                </c:pt>
                <c:pt idx="2">
                  <c:v>C&amp;I Small/Med</c:v>
                </c:pt>
                <c:pt idx="3">
                  <c:v>C&amp;I Large</c:v>
                </c:pt>
                <c:pt idx="4">
                  <c:v>13%</c:v>
                </c:pt>
                <c:pt idx="5">
                  <c:v>38%</c:v>
                </c:pt>
                <c:pt idx="6">
                  <c:v>23%</c:v>
                </c:pt>
                <c:pt idx="7">
                  <c:v>27%</c:v>
                </c:pt>
              </c:strCache>
            </c:strRef>
          </c:cat>
          <c:val>
            <c:numRef>
              <c:f>('ES CT Electric 2024 Table A-R'!$G$30:$G$31,'ES CT Electric 2024 Table A-R'!$G$33:$G$34)</c:f>
              <c:numCache>
                <c:formatCode>0%</c:formatCode>
                <c:ptCount val="4"/>
                <c:pt idx="0">
                  <c:v>0.125</c:v>
                </c:pt>
                <c:pt idx="1">
                  <c:v>0.37619999999999998</c:v>
                </c:pt>
                <c:pt idx="2">
                  <c:v>0.22645520000000002</c:v>
                </c:pt>
                <c:pt idx="3">
                  <c:v>0.2723448</c:v>
                </c:pt>
              </c:numCache>
            </c:numRef>
          </c:val>
          <c:extLst>
            <c:ext xmlns:c16="http://schemas.microsoft.com/office/drawing/2014/chart" uri="{C3380CC4-5D6E-409C-BE32-E72D297353CC}">
              <c16:uniqueId val="{00000007-8909-4761-9C4B-E0DDB7F5C3A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en-US" sz="1500" baseline="0"/>
              <a:t>EE Budget By Customer Class</a:t>
            </a:r>
          </a:p>
        </c:rich>
      </c:tx>
      <c:layout>
        <c:manualLayout>
          <c:xMode val="edge"/>
          <c:yMode val="edge"/>
          <c:x val="0.25645759144971741"/>
          <c:y val="3.3333333333333333E-2"/>
        </c:manualLayout>
      </c:layout>
      <c:overlay val="0"/>
      <c:spPr>
        <a:noFill/>
        <a:ln w="25400">
          <a:noFill/>
        </a:ln>
      </c:spPr>
    </c:title>
    <c:autoTitleDeleted val="0"/>
    <c:plotArea>
      <c:layout>
        <c:manualLayout>
          <c:layoutTarget val="inner"/>
          <c:xMode val="edge"/>
          <c:yMode val="edge"/>
          <c:x val="0.27859778597785978"/>
          <c:y val="0.26666733440338142"/>
          <c:w val="0.43357933579335795"/>
          <c:h val="0.6025656113922560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A6A-43CD-8BB7-C6885833049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A6A-43CD-8BB7-C6885833049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A6A-43CD-8BB7-C6885833049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A6A-43CD-8BB7-C6885833049A}"/>
              </c:ext>
            </c:extLst>
          </c:dPt>
          <c:dLbls>
            <c:dLbl>
              <c:idx val="0"/>
              <c:layout>
                <c:manualLayout>
                  <c:x val="0.10132868351297543"/>
                  <c:y val="7.5621385394887705E-2"/>
                </c:manualLayout>
              </c:layout>
              <c:tx>
                <c:rich>
                  <a:bodyPr/>
                  <a:lstStyle/>
                  <a:p>
                    <a:fld id="{1921E6D5-795D-4D6C-B7F8-8735DD6927F3}" type="CATEGORYNAME">
                      <a:rPr lang="en-US"/>
                      <a:pPr/>
                      <a:t>[CATEGORY NAME]</a:t>
                    </a:fld>
                    <a:r>
                      <a:rPr lang="en-US" baseline="0"/>
                      <a:t>
13%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A6A-43CD-8BB7-C6885833049A}"/>
                </c:ext>
              </c:extLst>
            </c:dLbl>
            <c:dLbl>
              <c:idx val="1"/>
              <c:layout>
                <c:manualLayout>
                  <c:x val="-0.15449441990482904"/>
                  <c:y val="-9.8657568755700031E-2"/>
                </c:manualLayout>
              </c:layout>
              <c:tx>
                <c:rich>
                  <a:bodyPr/>
                  <a:lstStyle/>
                  <a:p>
                    <a:fld id="{0FF87C37-F12F-46D7-B728-971FE545AF42}" type="CATEGORYNAME">
                      <a:rPr lang="en-US" b="1">
                        <a:solidFill>
                          <a:schemeClr val="bg1"/>
                        </a:solidFill>
                      </a:rPr>
                      <a:pPr/>
                      <a:t>[CATEGORY NAME]</a:t>
                    </a:fld>
                    <a:r>
                      <a:rPr lang="en-US" b="1" baseline="0">
                        <a:solidFill>
                          <a:schemeClr val="bg1"/>
                        </a:solidFill>
                      </a:rPr>
                      <a:t>
</a:t>
                    </a:r>
                    <a:fld id="{299DF784-1A49-4AC9-98CF-7CA4E1BE7A52}" type="PERCENTAGE">
                      <a:rPr lang="en-US" b="1" baseline="0">
                        <a:solidFill>
                          <a:schemeClr val="bg1"/>
                        </a:solidFill>
                      </a:rPr>
                      <a:pPr/>
                      <a:t>[PERCENTAGE]</a:t>
                    </a:fld>
                    <a:endParaRPr lang="en-US" b="1"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A6A-43CD-8BB7-C6885833049A}"/>
                </c:ext>
              </c:extLst>
            </c:dLbl>
            <c:dLbl>
              <c:idx val="2"/>
              <c:layout>
                <c:manualLayout>
                  <c:x val="0.13398228879926599"/>
                  <c:y val="-0.17782609868532315"/>
                </c:manualLayout>
              </c:layout>
              <c:tx>
                <c:rich>
                  <a:bodyPr/>
                  <a:lstStyle/>
                  <a:p>
                    <a:fld id="{3767103E-F200-46FE-9897-0951E549592E}" type="CATEGORYNAME">
                      <a:rPr lang="en-US" b="1"/>
                      <a:pPr/>
                      <a:t>[CATEGORY NAME]</a:t>
                    </a:fld>
                    <a:r>
                      <a:rPr lang="en-US" baseline="0"/>
                      <a:t>
</a:t>
                    </a:r>
                    <a:fld id="{D0D8D547-916F-46D1-81D5-91A29946C789}"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19372349188058804"/>
                      <c:h val="0.12583854469502831"/>
                    </c:manualLayout>
                  </c15:layout>
                  <c15:dlblFieldTable/>
                  <c15:showDataLabelsRange val="0"/>
                </c:ext>
                <c:ext xmlns:c16="http://schemas.microsoft.com/office/drawing/2014/chart" uri="{C3380CC4-5D6E-409C-BE32-E72D297353CC}">
                  <c16:uniqueId val="{00000004-4A6A-43CD-8BB7-C6885833049A}"/>
                </c:ext>
              </c:extLst>
            </c:dLbl>
            <c:dLbl>
              <c:idx val="3"/>
              <c:tx>
                <c:rich>
                  <a:bodyPr/>
                  <a:lstStyle/>
                  <a:p>
                    <a:fld id="{94863EEC-2E3D-4E13-B5B7-F9C74EE358D0}" type="CATEGORYNAME">
                      <a:rPr lang="en-US" b="1"/>
                      <a:pPr/>
                      <a:t>[CATEGORY NAME]</a:t>
                    </a:fld>
                    <a:r>
                      <a:rPr lang="en-US" b="1" baseline="0"/>
                      <a:t>
</a:t>
                    </a:r>
                    <a:fld id="{29750761-8CCA-4D33-9CBD-DC318934353C}" type="PERCENTAGE">
                      <a:rPr lang="en-US" b="1" baseline="0"/>
                      <a:pPr/>
                      <a:t>[PERCENTAGE]</a:t>
                    </a:fld>
                    <a:endParaRPr lang="en-US" b="1"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4A6A-43CD-8BB7-C6885833049A}"/>
                </c:ext>
              </c:extLst>
            </c:dLbl>
            <c:dLbl>
              <c:idx val="5"/>
              <c:layout>
                <c:manualLayout>
                  <c:xMode val="edge"/>
                  <c:yMode val="edge"/>
                  <c:x val="0.46125461254612549"/>
                  <c:y val="0.110256686339859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A6A-43CD-8BB7-C6885833049A}"/>
                </c:ext>
              </c:extLst>
            </c:dLbl>
            <c:dLbl>
              <c:idx val="6"/>
              <c:layout>
                <c:manualLayout>
                  <c:xMode val="edge"/>
                  <c:yMode val="edge"/>
                  <c:x val="0.29520295202952029"/>
                  <c:y val="0.148718321109578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A6A-43CD-8BB7-C6885833049A}"/>
                </c:ext>
              </c:extLst>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2024 Table A-R'!$B$30:$B$31,'ES CT Electric 2024 Table A-R'!$B$33:$B$34)</c:f>
              <c:strCache>
                <c:ptCount val="4"/>
                <c:pt idx="0">
                  <c:v>Res. Income-Eligible</c:v>
                </c:pt>
                <c:pt idx="1">
                  <c:v>Res. Non Income-Eligible</c:v>
                </c:pt>
                <c:pt idx="2">
                  <c:v>C&amp;I Small/Med</c:v>
                </c:pt>
                <c:pt idx="3">
                  <c:v>C&amp;I Large</c:v>
                </c:pt>
              </c:strCache>
            </c:strRef>
          </c:cat>
          <c:val>
            <c:numRef>
              <c:f>('ES CT Electric 2024 Table A-R'!$F$30:$F$31,'ES CT Electric 2024 Table A-R'!$F$33:$F$34)</c:f>
              <c:numCache>
                <c:formatCode>0%</c:formatCode>
                <c:ptCount val="4"/>
                <c:pt idx="0">
                  <c:v>0.13275014691655657</c:v>
                </c:pt>
                <c:pt idx="1">
                  <c:v>0.36073147984849141</c:v>
                </c:pt>
                <c:pt idx="2">
                  <c:v>0.22995934144866825</c:v>
                </c:pt>
                <c:pt idx="3">
                  <c:v>0.27655903178628383</c:v>
                </c:pt>
              </c:numCache>
            </c:numRef>
          </c:val>
          <c:extLst>
            <c:ext xmlns:c16="http://schemas.microsoft.com/office/drawing/2014/chart" uri="{C3380CC4-5D6E-409C-BE32-E72D297353CC}">
              <c16:uniqueId val="{00000009-4A6A-43CD-8BB7-C6885833049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52736088477544"/>
          <c:y val="0.26250032043496146"/>
          <c:w val="0.39300490492562234"/>
          <c:h val="0.4775005828864536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CC9-4B9E-805E-B106CB1BBE8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CC9-4B9E-805E-B106CB1BBE8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ECC9-4B9E-805E-B106CB1BBE8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ECC9-4B9E-805E-B106CB1BBE8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ECC9-4B9E-805E-B106CB1BBE8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ECC9-4B9E-805E-B106CB1BBE8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ECC9-4B9E-805E-B106CB1BBE8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ECC9-4B9E-805E-B106CB1BBE80}"/>
              </c:ext>
            </c:extLst>
          </c:dPt>
          <c:dLbls>
            <c:dLbl>
              <c:idx val="0"/>
              <c:layout>
                <c:manualLayout>
                  <c:x val="0.18963049067368878"/>
                  <c:y val="-0.123495473970750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CC9-4B9E-805E-B106CB1BBE80}"/>
                </c:ext>
              </c:extLst>
            </c:dLbl>
            <c:dLbl>
              <c:idx val="1"/>
              <c:layout>
                <c:manualLayout>
                  <c:x val="0.17460212481981274"/>
                  <c:y val="1.0168201781216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CC9-4B9E-805E-B106CB1BBE80}"/>
                </c:ext>
              </c:extLst>
            </c:dLbl>
            <c:dLbl>
              <c:idx val="2"/>
              <c:layout>
                <c:manualLayout>
                  <c:x val="0.15970055996839777"/>
                  <c:y val="0.115289727126990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CC9-4B9E-805E-B106CB1BBE80}"/>
                </c:ext>
              </c:extLst>
            </c:dLbl>
            <c:dLbl>
              <c:idx val="3"/>
              <c:layout>
                <c:manualLayout>
                  <c:x val="0.10362821686180858"/>
                  <c:y val="0.20910921987398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CC9-4B9E-805E-B106CB1BBE80}"/>
                </c:ext>
              </c:extLst>
            </c:dLbl>
            <c:dLbl>
              <c:idx val="4"/>
              <c:layout>
                <c:manualLayout>
                  <c:x val="-1.4048333403762813E-4"/>
                  <c:y val="5.3813457291673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C9-4B9E-805E-B106CB1BBE80}"/>
                </c:ext>
              </c:extLst>
            </c:dLbl>
            <c:dLbl>
              <c:idx val="5"/>
              <c:layout>
                <c:manualLayout>
                  <c:x val="-0.1602631617645203"/>
                  <c:y val="0.14348231701039482"/>
                </c:manualLayout>
              </c:layout>
              <c:tx>
                <c:rich>
                  <a:bodyPr/>
                  <a:lstStyle/>
                  <a:p>
                    <a:fld id="{6BE08B49-6E58-46D8-884F-E586C99A4B3F}" type="CATEGORYNAME">
                      <a:rPr lang="en-US"/>
                      <a:pPr/>
                      <a:t>[CATEGORY NAME]</a:t>
                    </a:fld>
                    <a:r>
                      <a:rPr lang="en-US" baseline="0"/>
                      <a:t>
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ECC9-4B9E-805E-B106CB1BBE80}"/>
                </c:ext>
              </c:extLst>
            </c:dLbl>
            <c:dLbl>
              <c:idx val="6"/>
              <c:layout>
                <c:manualLayout>
                  <c:x val="-0.24783471723880721"/>
                  <c:y val="-1.5218699273295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ECC9-4B9E-805E-B106CB1BBE80}"/>
                </c:ext>
              </c:extLst>
            </c:dLbl>
            <c:dLbl>
              <c:idx val="7"/>
              <c:layout>
                <c:manualLayout>
                  <c:x val="-0.10863259743761035"/>
                  <c:y val="-8.32595281725473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ECC9-4B9E-805E-B106CB1BBE80}"/>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2022 Table C Pie'!$B$36:$B$43</c:f>
              <c:strCache>
                <c:ptCount val="8"/>
                <c:pt idx="0">
                  <c:v>Labor</c:v>
                </c:pt>
                <c:pt idx="1">
                  <c:v>Materials &amp; Supplies</c:v>
                </c:pt>
                <c:pt idx="2">
                  <c:v>Outside Services</c:v>
                </c:pt>
                <c:pt idx="3">
                  <c:v>Contractor Labor</c:v>
                </c:pt>
                <c:pt idx="4">
                  <c:v>Incentives</c:v>
                </c:pt>
                <c:pt idx="5">
                  <c:v>Marketing</c:v>
                </c:pt>
                <c:pt idx="6">
                  <c:v>Other </c:v>
                </c:pt>
                <c:pt idx="7">
                  <c:v>Administrative Expenses</c:v>
                </c:pt>
              </c:strCache>
            </c:strRef>
          </c:cat>
          <c:val>
            <c:numRef>
              <c:f>'ES CT Electric 2022 Table C Pie'!$C$36:$C$43</c:f>
              <c:numCache>
                <c:formatCode>_("$"* #,##0_);_("$"* \(#,##0\);_("$"* "-"_);_(@_)</c:formatCode>
                <c:ptCount val="8"/>
                <c:pt idx="0">
                  <c:v>13637.503567045291</c:v>
                </c:pt>
                <c:pt idx="1">
                  <c:v>35</c:v>
                </c:pt>
                <c:pt idx="2">
                  <c:v>21074.651041492361</c:v>
                </c:pt>
                <c:pt idx="3">
                  <c:v>1465.6807899</c:v>
                </c:pt>
                <c:pt idx="4">
                  <c:v>111847.20609958519</c:v>
                </c:pt>
                <c:pt idx="5">
                  <c:v>3894.6910280521861</c:v>
                </c:pt>
                <c:pt idx="6">
                  <c:v>12656.047782999129</c:v>
                </c:pt>
                <c:pt idx="7">
                  <c:v>320</c:v>
                </c:pt>
              </c:numCache>
            </c:numRef>
          </c:val>
          <c:extLst>
            <c:ext xmlns:c16="http://schemas.microsoft.com/office/drawing/2014/chart" uri="{C3380CC4-5D6E-409C-BE32-E72D297353CC}">
              <c16:uniqueId val="{0000000F-ECC9-4B9E-805E-B106CB1BBE8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52736088477544"/>
          <c:y val="0.26250032043496146"/>
          <c:w val="0.39300490492562234"/>
          <c:h val="0.4775005828864536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8F7-4C07-B033-35F20594CD8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8F7-4C07-B033-35F20594CD8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8F7-4C07-B033-35F20594CD8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8F7-4C07-B033-35F20594CD8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8F7-4C07-B033-35F20594CD8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8F7-4C07-B033-35F20594CD8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8F7-4C07-B033-35F20594CD8D}"/>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8F7-4C07-B033-35F20594CD8D}"/>
              </c:ext>
            </c:extLst>
          </c:dPt>
          <c:dLbls>
            <c:dLbl>
              <c:idx val="0"/>
              <c:layout>
                <c:manualLayout>
                  <c:x val="0.18963049067368878"/>
                  <c:y val="-0.123495473970750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8F7-4C07-B033-35F20594CD8D}"/>
                </c:ext>
              </c:extLst>
            </c:dLbl>
            <c:dLbl>
              <c:idx val="1"/>
              <c:layout>
                <c:manualLayout>
                  <c:x val="0.17460212481981274"/>
                  <c:y val="1.0168201781216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8F7-4C07-B033-35F20594CD8D}"/>
                </c:ext>
              </c:extLst>
            </c:dLbl>
            <c:dLbl>
              <c:idx val="2"/>
              <c:layout>
                <c:manualLayout>
                  <c:x val="0.15970055996839777"/>
                  <c:y val="0.115289727126990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F7-4C07-B033-35F20594CD8D}"/>
                </c:ext>
              </c:extLst>
            </c:dLbl>
            <c:dLbl>
              <c:idx val="3"/>
              <c:layout>
                <c:manualLayout>
                  <c:x val="0.10362821686180858"/>
                  <c:y val="0.20910921987398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8F7-4C07-B033-35F20594CD8D}"/>
                </c:ext>
              </c:extLst>
            </c:dLbl>
            <c:dLbl>
              <c:idx val="4"/>
              <c:layout>
                <c:manualLayout>
                  <c:x val="-1.4048333403762813E-4"/>
                  <c:y val="5.3813457291673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8F7-4C07-B033-35F20594CD8D}"/>
                </c:ext>
              </c:extLst>
            </c:dLbl>
            <c:dLbl>
              <c:idx val="5"/>
              <c:layout>
                <c:manualLayout>
                  <c:x val="-0.1602631617645203"/>
                  <c:y val="0.14348231701039482"/>
                </c:manualLayout>
              </c:layout>
              <c:tx>
                <c:rich>
                  <a:bodyPr/>
                  <a:lstStyle/>
                  <a:p>
                    <a:fld id="{6BE08B49-6E58-46D8-884F-E586C99A4B3F}" type="CATEGORYNAME">
                      <a:rPr lang="en-US"/>
                      <a:pPr/>
                      <a:t>[CATEGORY NAME]</a:t>
                    </a:fld>
                    <a:r>
                      <a:rPr lang="en-US" baseline="0"/>
                      <a:t>
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28F7-4C07-B033-35F20594CD8D}"/>
                </c:ext>
              </c:extLst>
            </c:dLbl>
            <c:dLbl>
              <c:idx val="6"/>
              <c:layout>
                <c:manualLayout>
                  <c:x val="-0.24783471723880721"/>
                  <c:y val="-1.5218699273295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8F7-4C07-B033-35F20594CD8D}"/>
                </c:ext>
              </c:extLst>
            </c:dLbl>
            <c:dLbl>
              <c:idx val="7"/>
              <c:layout>
                <c:manualLayout>
                  <c:x val="-0.10863259743761035"/>
                  <c:y val="-8.32595281725473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8F7-4C07-B033-35F20594CD8D}"/>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2023 Table C Pie'!$B$36:$B$43</c:f>
              <c:strCache>
                <c:ptCount val="8"/>
                <c:pt idx="0">
                  <c:v>Labor</c:v>
                </c:pt>
                <c:pt idx="1">
                  <c:v>Materials &amp; Supplies</c:v>
                </c:pt>
                <c:pt idx="2">
                  <c:v>Outside Services</c:v>
                </c:pt>
                <c:pt idx="3">
                  <c:v>Contractor Labor</c:v>
                </c:pt>
                <c:pt idx="4">
                  <c:v>Incentives</c:v>
                </c:pt>
                <c:pt idx="5">
                  <c:v>Marketing</c:v>
                </c:pt>
                <c:pt idx="6">
                  <c:v>Other </c:v>
                </c:pt>
                <c:pt idx="7">
                  <c:v>Administrative Expenses</c:v>
                </c:pt>
              </c:strCache>
            </c:strRef>
          </c:cat>
          <c:val>
            <c:numRef>
              <c:f>'ES CT Electric 2023 Table C Pie'!$C$36:$C$43</c:f>
              <c:numCache>
                <c:formatCode>_("$"* #,##0_);_("$"* \(#,##0\);_("$"* "-"_);_(@_)</c:formatCode>
                <c:ptCount val="8"/>
                <c:pt idx="0">
                  <c:v>13356.528674056648</c:v>
                </c:pt>
                <c:pt idx="1">
                  <c:v>30</c:v>
                </c:pt>
                <c:pt idx="2">
                  <c:v>19740.021247198387</c:v>
                </c:pt>
                <c:pt idx="3">
                  <c:v>1402.1186693200152</c:v>
                </c:pt>
                <c:pt idx="4">
                  <c:v>95765.88259744778</c:v>
                </c:pt>
                <c:pt idx="5">
                  <c:v>3894.7239280521858</c:v>
                </c:pt>
                <c:pt idx="6">
                  <c:v>10183.290270624135</c:v>
                </c:pt>
                <c:pt idx="7">
                  <c:v>320</c:v>
                </c:pt>
              </c:numCache>
            </c:numRef>
          </c:val>
          <c:extLst>
            <c:ext xmlns:c16="http://schemas.microsoft.com/office/drawing/2014/chart" uri="{C3380CC4-5D6E-409C-BE32-E72D297353CC}">
              <c16:uniqueId val="{0000000F-28F7-4C07-B033-35F20594CD8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52736088477544"/>
          <c:y val="0.26250032043496146"/>
          <c:w val="0.39300490492562234"/>
          <c:h val="0.4775005828864536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03F-4FC4-9021-7B1429904A2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03F-4FC4-9021-7B1429904A2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03F-4FC4-9021-7B1429904A2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03F-4FC4-9021-7B1429904A2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03F-4FC4-9021-7B1429904A2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03F-4FC4-9021-7B1429904A2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03F-4FC4-9021-7B1429904A2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03F-4FC4-9021-7B1429904A25}"/>
              </c:ext>
            </c:extLst>
          </c:dPt>
          <c:dLbls>
            <c:dLbl>
              <c:idx val="0"/>
              <c:layout>
                <c:manualLayout>
                  <c:x val="0.18963049067368878"/>
                  <c:y val="-0.123495473970750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3F-4FC4-9021-7B1429904A25}"/>
                </c:ext>
              </c:extLst>
            </c:dLbl>
            <c:dLbl>
              <c:idx val="1"/>
              <c:layout>
                <c:manualLayout>
                  <c:x val="0.17460212481981274"/>
                  <c:y val="1.0168201781216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03F-4FC4-9021-7B1429904A25}"/>
                </c:ext>
              </c:extLst>
            </c:dLbl>
            <c:dLbl>
              <c:idx val="2"/>
              <c:layout>
                <c:manualLayout>
                  <c:x val="0.15970055996839777"/>
                  <c:y val="0.115289727126990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03F-4FC4-9021-7B1429904A25}"/>
                </c:ext>
              </c:extLst>
            </c:dLbl>
            <c:dLbl>
              <c:idx val="3"/>
              <c:layout>
                <c:manualLayout>
                  <c:x val="0.10362821686180858"/>
                  <c:y val="0.20910921987398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03F-4FC4-9021-7B1429904A25}"/>
                </c:ext>
              </c:extLst>
            </c:dLbl>
            <c:dLbl>
              <c:idx val="4"/>
              <c:layout>
                <c:manualLayout>
                  <c:x val="-1.4048333403762813E-4"/>
                  <c:y val="5.3813457291673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03F-4FC4-9021-7B1429904A25}"/>
                </c:ext>
              </c:extLst>
            </c:dLbl>
            <c:dLbl>
              <c:idx val="5"/>
              <c:layout>
                <c:manualLayout>
                  <c:x val="-0.1602631617645203"/>
                  <c:y val="0.14348231701039482"/>
                </c:manualLayout>
              </c:layout>
              <c:tx>
                <c:rich>
                  <a:bodyPr/>
                  <a:lstStyle/>
                  <a:p>
                    <a:fld id="{6BE08B49-6E58-46D8-884F-E586C99A4B3F}" type="CATEGORYNAME">
                      <a:rPr lang="en-US"/>
                      <a:pPr/>
                      <a:t>[CATEGORY NAME]</a:t>
                    </a:fld>
                    <a:r>
                      <a:rPr lang="en-US" baseline="0"/>
                      <a:t>
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C03F-4FC4-9021-7B1429904A25}"/>
                </c:ext>
              </c:extLst>
            </c:dLbl>
            <c:dLbl>
              <c:idx val="6"/>
              <c:layout>
                <c:manualLayout>
                  <c:x val="-0.24783471723880721"/>
                  <c:y val="-1.5218699273295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03F-4FC4-9021-7B1429904A25}"/>
                </c:ext>
              </c:extLst>
            </c:dLbl>
            <c:dLbl>
              <c:idx val="7"/>
              <c:layout>
                <c:manualLayout>
                  <c:x val="-0.10863259743761035"/>
                  <c:y val="-8.32595281725473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03F-4FC4-9021-7B1429904A25}"/>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Electric 2024 Table C Pie'!$B$36:$B$43</c:f>
              <c:strCache>
                <c:ptCount val="8"/>
                <c:pt idx="0">
                  <c:v>Labor</c:v>
                </c:pt>
                <c:pt idx="1">
                  <c:v>Materials &amp; Supplies</c:v>
                </c:pt>
                <c:pt idx="2">
                  <c:v>Outside Services</c:v>
                </c:pt>
                <c:pt idx="3">
                  <c:v>Contractor Labor</c:v>
                </c:pt>
                <c:pt idx="4">
                  <c:v>Incentives</c:v>
                </c:pt>
                <c:pt idx="5">
                  <c:v>Marketing</c:v>
                </c:pt>
                <c:pt idx="6">
                  <c:v>Other </c:v>
                </c:pt>
                <c:pt idx="7">
                  <c:v>Administrative Expenses</c:v>
                </c:pt>
              </c:strCache>
            </c:strRef>
          </c:cat>
          <c:val>
            <c:numRef>
              <c:f>'ES CT Electric 2024 Table C Pie'!$C$36:$C$43</c:f>
              <c:numCache>
                <c:formatCode>_("$"* #,##0_);_("$"* \(#,##0\);_("$"* "-"_);_(@_)</c:formatCode>
                <c:ptCount val="8"/>
                <c:pt idx="0">
                  <c:v>13750.886161051256</c:v>
                </c:pt>
                <c:pt idx="1">
                  <c:v>30</c:v>
                </c:pt>
                <c:pt idx="2">
                  <c:v>20193.273349039486</c:v>
                </c:pt>
                <c:pt idx="3">
                  <c:v>1374.8091976858266</c:v>
                </c:pt>
                <c:pt idx="4">
                  <c:v>95672.88279024628</c:v>
                </c:pt>
                <c:pt idx="5">
                  <c:v>3894.7239280521858</c:v>
                </c:pt>
                <c:pt idx="6">
                  <c:v>10768.005022461635</c:v>
                </c:pt>
                <c:pt idx="7">
                  <c:v>808</c:v>
                </c:pt>
              </c:numCache>
            </c:numRef>
          </c:val>
          <c:extLst>
            <c:ext xmlns:c16="http://schemas.microsoft.com/office/drawing/2014/chart" uri="{C3380CC4-5D6E-409C-BE32-E72D297353CC}">
              <c16:uniqueId val="{0000000F-C03F-4FC4-9021-7B1429904A2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'2021 ES CT PMI'!$B$7</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'2021 ES CT PMI'!$B$8:$B$15</c:f>
              <c:numCache>
                <c:formatCode>General</c:formatCode>
                <c:ptCount val="8"/>
                <c:pt idx="0">
                  <c:v>75</c:v>
                </c:pt>
                <c:pt idx="1">
                  <c:v>85</c:v>
                </c:pt>
                <c:pt idx="2">
                  <c:v>95</c:v>
                </c:pt>
                <c:pt idx="3">
                  <c:v>100</c:v>
                </c:pt>
                <c:pt idx="4">
                  <c:v>105</c:v>
                </c:pt>
                <c:pt idx="5">
                  <c:v>115</c:v>
                </c:pt>
                <c:pt idx="6">
                  <c:v>125</c:v>
                </c:pt>
                <c:pt idx="7">
                  <c:v>135</c:v>
                </c:pt>
              </c:numCache>
            </c:numRef>
          </c:xVal>
          <c:yVal>
            <c:numRef>
              <c:f>'2021 ES CT PMI'!$D$8:$D$15</c:f>
              <c:numCache>
                <c:formatCode>"$"#,##0</c:formatCode>
                <c:ptCount val="8"/>
                <c:pt idx="0">
                  <c:v>3069567.827</c:v>
                </c:pt>
                <c:pt idx="1">
                  <c:v>4604351.7404999994</c:v>
                </c:pt>
                <c:pt idx="2">
                  <c:v>6139135.6540000001</c:v>
                </c:pt>
                <c:pt idx="3">
                  <c:v>6906527.6107499991</c:v>
                </c:pt>
                <c:pt idx="4">
                  <c:v>7673919.5674999999</c:v>
                </c:pt>
                <c:pt idx="5">
                  <c:v>9208703.4809999987</c:v>
                </c:pt>
                <c:pt idx="6">
                  <c:v>10743487.3945</c:v>
                </c:pt>
                <c:pt idx="7">
                  <c:v>12278271.308</c:v>
                </c:pt>
              </c:numCache>
            </c:numRef>
          </c:yVal>
          <c:smooth val="1"/>
          <c:extLst>
            <c:ext xmlns:c16="http://schemas.microsoft.com/office/drawing/2014/chart" uri="{C3380CC4-5D6E-409C-BE32-E72D297353CC}">
              <c16:uniqueId val="{00000000-599E-45CD-BA75-A9216F7446D2}"/>
            </c:ext>
          </c:extLst>
        </c:ser>
        <c:dLbls>
          <c:showLegendKey val="0"/>
          <c:showVal val="0"/>
          <c:showCatName val="0"/>
          <c:showSerName val="0"/>
          <c:showPercent val="0"/>
          <c:showBubbleSize val="0"/>
        </c:dLbls>
        <c:axId val="182951296"/>
        <c:axId val="183023488"/>
      </c:scatterChart>
      <c:valAx>
        <c:axId val="182951296"/>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a:t>Performance Achieved % of Target</a:t>
                </a:r>
              </a:p>
            </c:rich>
          </c:tx>
          <c:layout>
            <c:manualLayout>
              <c:xMode val="edge"/>
              <c:yMode val="edge"/>
              <c:x val="0.4172666373851403"/>
              <c:y val="0.95021414971032125"/>
            </c:manualLayout>
          </c:layout>
          <c:overlay val="0"/>
          <c:spPr>
            <a:noFill/>
            <a:ln w="25400">
              <a:noFill/>
            </a:ln>
          </c:spPr>
        </c:title>
        <c:numFmt formatCode="General" sourceLinked="1"/>
        <c:majorTickMark val="out"/>
        <c:minorTickMark val="none"/>
        <c:tickLblPos val="nextTo"/>
        <c:crossAx val="183023488"/>
        <c:crosses val="autoZero"/>
        <c:crossBetween val="midCat"/>
        <c:majorUnit val="10"/>
        <c:minorUnit val="5"/>
      </c:valAx>
      <c:valAx>
        <c:axId val="1830234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Incentive $ Earned</a:t>
                </a:r>
              </a:p>
            </c:rich>
          </c:tx>
          <c:layout>
            <c:manualLayout>
              <c:xMode val="edge"/>
              <c:yMode val="edge"/>
              <c:x val="1.19904067935564E-2"/>
              <c:y val="0.410447761194029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82951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'2022 ES CT PMI'!$B$7</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'2022 ES CT PMI'!$B$8:$B$15</c:f>
              <c:numCache>
                <c:formatCode>General</c:formatCode>
                <c:ptCount val="8"/>
                <c:pt idx="0">
                  <c:v>75</c:v>
                </c:pt>
                <c:pt idx="1">
                  <c:v>85</c:v>
                </c:pt>
                <c:pt idx="2">
                  <c:v>95</c:v>
                </c:pt>
                <c:pt idx="3">
                  <c:v>100</c:v>
                </c:pt>
                <c:pt idx="4">
                  <c:v>105</c:v>
                </c:pt>
                <c:pt idx="5">
                  <c:v>115</c:v>
                </c:pt>
                <c:pt idx="6">
                  <c:v>125</c:v>
                </c:pt>
                <c:pt idx="7">
                  <c:v>135</c:v>
                </c:pt>
              </c:numCache>
            </c:numRef>
          </c:xVal>
          <c:yVal>
            <c:numRef>
              <c:f>'2022 ES CT PMI'!$D$8:$D$15</c:f>
              <c:numCache>
                <c:formatCode>"$"#,##0</c:formatCode>
                <c:ptCount val="8"/>
                <c:pt idx="0">
                  <c:v>3906536.8327268544</c:v>
                </c:pt>
                <c:pt idx="1">
                  <c:v>5469151.5658175964</c:v>
                </c:pt>
                <c:pt idx="2">
                  <c:v>7031766.298908337</c:v>
                </c:pt>
                <c:pt idx="3">
                  <c:v>7813073.6654537087</c:v>
                </c:pt>
                <c:pt idx="4">
                  <c:v>8266231.9380500233</c:v>
                </c:pt>
                <c:pt idx="5">
                  <c:v>9156922.3359117452</c:v>
                </c:pt>
                <c:pt idx="6">
                  <c:v>10047612.733773468</c:v>
                </c:pt>
                <c:pt idx="7">
                  <c:v>10938303.131635193</c:v>
                </c:pt>
              </c:numCache>
            </c:numRef>
          </c:yVal>
          <c:smooth val="1"/>
          <c:extLst>
            <c:ext xmlns:c16="http://schemas.microsoft.com/office/drawing/2014/chart" uri="{C3380CC4-5D6E-409C-BE32-E72D297353CC}">
              <c16:uniqueId val="{00000000-E92D-4C2A-B79C-21D44A819753}"/>
            </c:ext>
          </c:extLst>
        </c:ser>
        <c:dLbls>
          <c:showLegendKey val="0"/>
          <c:showVal val="0"/>
          <c:showCatName val="0"/>
          <c:showSerName val="0"/>
          <c:showPercent val="0"/>
          <c:showBubbleSize val="0"/>
        </c:dLbls>
        <c:axId val="182951296"/>
        <c:axId val="183023488"/>
      </c:scatterChart>
      <c:valAx>
        <c:axId val="182951296"/>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a:t>Performance Achieved % of Target</a:t>
                </a:r>
              </a:p>
            </c:rich>
          </c:tx>
          <c:layout>
            <c:manualLayout>
              <c:xMode val="edge"/>
              <c:yMode val="edge"/>
              <c:x val="0.4172666373851403"/>
              <c:y val="0.95021414971032125"/>
            </c:manualLayout>
          </c:layout>
          <c:overlay val="0"/>
          <c:spPr>
            <a:noFill/>
            <a:ln w="25400">
              <a:noFill/>
            </a:ln>
          </c:spPr>
        </c:title>
        <c:numFmt formatCode="General" sourceLinked="1"/>
        <c:majorTickMark val="out"/>
        <c:minorTickMark val="none"/>
        <c:tickLblPos val="nextTo"/>
        <c:crossAx val="183023488"/>
        <c:crosses val="autoZero"/>
        <c:crossBetween val="midCat"/>
        <c:majorUnit val="10"/>
        <c:minorUnit val="5"/>
      </c:valAx>
      <c:valAx>
        <c:axId val="1830234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Incentive $ Earned</a:t>
                </a:r>
              </a:p>
            </c:rich>
          </c:tx>
          <c:layout>
            <c:manualLayout>
              <c:xMode val="edge"/>
              <c:yMode val="edge"/>
              <c:x val="1.19904067935564E-2"/>
              <c:y val="0.410447761194029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82951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'2023 ES CT PMI'!$B$7</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'2023 ES CT PMI'!$B$8:$B$15</c:f>
              <c:numCache>
                <c:formatCode>General</c:formatCode>
                <c:ptCount val="8"/>
                <c:pt idx="0">
                  <c:v>75</c:v>
                </c:pt>
                <c:pt idx="1">
                  <c:v>85</c:v>
                </c:pt>
                <c:pt idx="2">
                  <c:v>95</c:v>
                </c:pt>
                <c:pt idx="3">
                  <c:v>100</c:v>
                </c:pt>
                <c:pt idx="4">
                  <c:v>105</c:v>
                </c:pt>
                <c:pt idx="5">
                  <c:v>115</c:v>
                </c:pt>
                <c:pt idx="6">
                  <c:v>125</c:v>
                </c:pt>
                <c:pt idx="7">
                  <c:v>135</c:v>
                </c:pt>
              </c:numCache>
            </c:numRef>
          </c:xVal>
          <c:yVal>
            <c:numRef>
              <c:f>'2023 ES CT PMI'!$D$8:$D$15</c:f>
              <c:numCache>
                <c:formatCode>"$"#,##0</c:formatCode>
                <c:ptCount val="8"/>
                <c:pt idx="0">
                  <c:v>3424674.574976854</c:v>
                </c:pt>
                <c:pt idx="1">
                  <c:v>4794544.4049675958</c:v>
                </c:pt>
                <c:pt idx="2">
                  <c:v>6164414.2349583367</c:v>
                </c:pt>
                <c:pt idx="3">
                  <c:v>6849349.1499537081</c:v>
                </c:pt>
                <c:pt idx="4">
                  <c:v>7246611.4006510237</c:v>
                </c:pt>
                <c:pt idx="5">
                  <c:v>8027437.2037457461</c:v>
                </c:pt>
                <c:pt idx="6">
                  <c:v>8808263.0068404675</c:v>
                </c:pt>
                <c:pt idx="7">
                  <c:v>9589088.8099351916</c:v>
                </c:pt>
              </c:numCache>
            </c:numRef>
          </c:yVal>
          <c:smooth val="1"/>
          <c:extLst>
            <c:ext xmlns:c16="http://schemas.microsoft.com/office/drawing/2014/chart" uri="{C3380CC4-5D6E-409C-BE32-E72D297353CC}">
              <c16:uniqueId val="{00000000-A4E1-42AE-9EA3-4244AC4005BB}"/>
            </c:ext>
          </c:extLst>
        </c:ser>
        <c:dLbls>
          <c:showLegendKey val="0"/>
          <c:showVal val="0"/>
          <c:showCatName val="0"/>
          <c:showSerName val="0"/>
          <c:showPercent val="0"/>
          <c:showBubbleSize val="0"/>
        </c:dLbls>
        <c:axId val="182951296"/>
        <c:axId val="183023488"/>
      </c:scatterChart>
      <c:valAx>
        <c:axId val="182951296"/>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a:t>Performance Achieved % of Target</a:t>
                </a:r>
              </a:p>
            </c:rich>
          </c:tx>
          <c:layout>
            <c:manualLayout>
              <c:xMode val="edge"/>
              <c:yMode val="edge"/>
              <c:x val="0.4172666373851403"/>
              <c:y val="0.95021414971032125"/>
            </c:manualLayout>
          </c:layout>
          <c:overlay val="0"/>
          <c:spPr>
            <a:noFill/>
            <a:ln w="25400">
              <a:noFill/>
            </a:ln>
          </c:spPr>
        </c:title>
        <c:numFmt formatCode="General" sourceLinked="1"/>
        <c:majorTickMark val="out"/>
        <c:minorTickMark val="none"/>
        <c:tickLblPos val="nextTo"/>
        <c:crossAx val="183023488"/>
        <c:crosses val="autoZero"/>
        <c:crossBetween val="midCat"/>
        <c:majorUnit val="10"/>
        <c:minorUnit val="5"/>
      </c:valAx>
      <c:valAx>
        <c:axId val="1830234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Incentive $ Earned</a:t>
                </a:r>
              </a:p>
            </c:rich>
          </c:tx>
          <c:layout>
            <c:manualLayout>
              <c:xMode val="edge"/>
              <c:yMode val="edge"/>
              <c:x val="1.19904067935564E-2"/>
              <c:y val="0.410447761194029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82951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'2024 ES CT PMI'!$B$7</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'2024 ES CT PMI'!$B$8:$B$15</c:f>
              <c:numCache>
                <c:formatCode>General</c:formatCode>
                <c:ptCount val="8"/>
                <c:pt idx="0">
                  <c:v>75</c:v>
                </c:pt>
                <c:pt idx="1">
                  <c:v>85</c:v>
                </c:pt>
                <c:pt idx="2">
                  <c:v>95</c:v>
                </c:pt>
                <c:pt idx="3">
                  <c:v>100</c:v>
                </c:pt>
                <c:pt idx="4">
                  <c:v>105</c:v>
                </c:pt>
                <c:pt idx="5">
                  <c:v>115</c:v>
                </c:pt>
                <c:pt idx="6">
                  <c:v>125</c:v>
                </c:pt>
                <c:pt idx="7">
                  <c:v>135</c:v>
                </c:pt>
              </c:numCache>
            </c:numRef>
          </c:xVal>
          <c:yVal>
            <c:numRef>
              <c:f>'2024 ES CT PMI'!$D$8:$D$15</c:f>
              <c:numCache>
                <c:formatCode>"$"#,##0</c:formatCode>
                <c:ptCount val="8"/>
                <c:pt idx="0">
                  <c:v>3467532.0827268544</c:v>
                </c:pt>
                <c:pt idx="1">
                  <c:v>4854544.915817596</c:v>
                </c:pt>
                <c:pt idx="2">
                  <c:v>6241557.7489083372</c:v>
                </c:pt>
                <c:pt idx="3">
                  <c:v>6935064.1654537087</c:v>
                </c:pt>
                <c:pt idx="4">
                  <c:v>7337297.8870500233</c:v>
                </c:pt>
                <c:pt idx="5">
                  <c:v>8127895.2019117456</c:v>
                </c:pt>
                <c:pt idx="6">
                  <c:v>8918492.5167734679</c:v>
                </c:pt>
                <c:pt idx="7">
                  <c:v>9709089.831635192</c:v>
                </c:pt>
              </c:numCache>
            </c:numRef>
          </c:yVal>
          <c:smooth val="1"/>
          <c:extLst>
            <c:ext xmlns:c16="http://schemas.microsoft.com/office/drawing/2014/chart" uri="{C3380CC4-5D6E-409C-BE32-E72D297353CC}">
              <c16:uniqueId val="{00000000-9E0B-4833-8B14-335A33ED9191}"/>
            </c:ext>
          </c:extLst>
        </c:ser>
        <c:dLbls>
          <c:showLegendKey val="0"/>
          <c:showVal val="0"/>
          <c:showCatName val="0"/>
          <c:showSerName val="0"/>
          <c:showPercent val="0"/>
          <c:showBubbleSize val="0"/>
        </c:dLbls>
        <c:axId val="182951296"/>
        <c:axId val="183023488"/>
      </c:scatterChart>
      <c:valAx>
        <c:axId val="182951296"/>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a:t>Performance Achieved % of Target</a:t>
                </a:r>
              </a:p>
            </c:rich>
          </c:tx>
          <c:layout>
            <c:manualLayout>
              <c:xMode val="edge"/>
              <c:yMode val="edge"/>
              <c:x val="0.4172666373851403"/>
              <c:y val="0.95021414971032125"/>
            </c:manualLayout>
          </c:layout>
          <c:overlay val="0"/>
          <c:spPr>
            <a:noFill/>
            <a:ln w="25400">
              <a:noFill/>
            </a:ln>
          </c:spPr>
        </c:title>
        <c:numFmt formatCode="General" sourceLinked="1"/>
        <c:majorTickMark val="out"/>
        <c:minorTickMark val="none"/>
        <c:tickLblPos val="nextTo"/>
        <c:crossAx val="183023488"/>
        <c:crosses val="autoZero"/>
        <c:crossBetween val="midCat"/>
        <c:majorUnit val="10"/>
        <c:minorUnit val="5"/>
      </c:valAx>
      <c:valAx>
        <c:axId val="1830234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Incentive $ Earned</a:t>
                </a:r>
              </a:p>
            </c:rich>
          </c:tx>
          <c:layout>
            <c:manualLayout>
              <c:xMode val="edge"/>
              <c:yMode val="edge"/>
              <c:x val="1.19904067935564E-2"/>
              <c:y val="0.410447761194029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82951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'2023 ES CT PMI  Old'!$B$7</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'2023 ES CT PMI  Old'!$B$8:$B$15</c:f>
              <c:numCache>
                <c:formatCode>General</c:formatCode>
                <c:ptCount val="8"/>
                <c:pt idx="0">
                  <c:v>75</c:v>
                </c:pt>
                <c:pt idx="1">
                  <c:v>85</c:v>
                </c:pt>
                <c:pt idx="2">
                  <c:v>95</c:v>
                </c:pt>
                <c:pt idx="3">
                  <c:v>100</c:v>
                </c:pt>
                <c:pt idx="4">
                  <c:v>105</c:v>
                </c:pt>
                <c:pt idx="5">
                  <c:v>115</c:v>
                </c:pt>
                <c:pt idx="6">
                  <c:v>125</c:v>
                </c:pt>
              </c:numCache>
            </c:numRef>
          </c:xVal>
          <c:yVal>
            <c:numRef>
              <c:f>'2023 ES CT PMI  Old'!$D$8:$D$15</c:f>
              <c:numCache>
                <c:formatCode>"$"#,##0</c:formatCode>
                <c:ptCount val="8"/>
                <c:pt idx="0">
                  <c:v>3444257.449976854</c:v>
                </c:pt>
                <c:pt idx="1">
                  <c:v>4821960.4299675962</c:v>
                </c:pt>
                <c:pt idx="2">
                  <c:v>6199663.4099583374</c:v>
                </c:pt>
                <c:pt idx="3">
                  <c:v>6888514.8999537081</c:v>
                </c:pt>
                <c:pt idx="4">
                  <c:v>7577366.3899490787</c:v>
                </c:pt>
                <c:pt idx="5">
                  <c:v>8955069.3699398208</c:v>
                </c:pt>
                <c:pt idx="6">
                  <c:v>10332772.349930562</c:v>
                </c:pt>
              </c:numCache>
            </c:numRef>
          </c:yVal>
          <c:smooth val="1"/>
          <c:extLst>
            <c:ext xmlns:c16="http://schemas.microsoft.com/office/drawing/2014/chart" uri="{C3380CC4-5D6E-409C-BE32-E72D297353CC}">
              <c16:uniqueId val="{00000000-259B-4BBD-9ADF-DBFF99B1BFA5}"/>
            </c:ext>
          </c:extLst>
        </c:ser>
        <c:dLbls>
          <c:showLegendKey val="0"/>
          <c:showVal val="0"/>
          <c:showCatName val="0"/>
          <c:showSerName val="0"/>
          <c:showPercent val="0"/>
          <c:showBubbleSize val="0"/>
        </c:dLbls>
        <c:axId val="182951296"/>
        <c:axId val="183023488"/>
      </c:scatterChart>
      <c:valAx>
        <c:axId val="182951296"/>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a:t>Performance Achieved % of Target</a:t>
                </a:r>
              </a:p>
            </c:rich>
          </c:tx>
          <c:layout>
            <c:manualLayout>
              <c:xMode val="edge"/>
              <c:yMode val="edge"/>
              <c:x val="0.4172666373851403"/>
              <c:y val="0.95021414971032125"/>
            </c:manualLayout>
          </c:layout>
          <c:overlay val="0"/>
          <c:spPr>
            <a:noFill/>
            <a:ln w="25400">
              <a:noFill/>
            </a:ln>
          </c:spPr>
        </c:title>
        <c:numFmt formatCode="General" sourceLinked="1"/>
        <c:majorTickMark val="out"/>
        <c:minorTickMark val="none"/>
        <c:tickLblPos val="nextTo"/>
        <c:crossAx val="183023488"/>
        <c:crosses val="autoZero"/>
        <c:crossBetween val="midCat"/>
        <c:majorUnit val="10"/>
        <c:minorUnit val="5"/>
      </c:valAx>
      <c:valAx>
        <c:axId val="1830234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Incentive $ Earned</a:t>
                </a:r>
              </a:p>
            </c:rich>
          </c:tx>
          <c:layout>
            <c:manualLayout>
              <c:xMode val="edge"/>
              <c:yMode val="edge"/>
              <c:x val="1.19904067935564E-2"/>
              <c:y val="0.410447761194029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82951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'2024 ES CT PMI Old'!$B$7</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'2024 ES CT PMI Old'!$B$8:$B$15</c:f>
              <c:numCache>
                <c:formatCode>General</c:formatCode>
                <c:ptCount val="8"/>
                <c:pt idx="0">
                  <c:v>75</c:v>
                </c:pt>
                <c:pt idx="1">
                  <c:v>85</c:v>
                </c:pt>
                <c:pt idx="2">
                  <c:v>95</c:v>
                </c:pt>
                <c:pt idx="3">
                  <c:v>100</c:v>
                </c:pt>
                <c:pt idx="4">
                  <c:v>105</c:v>
                </c:pt>
                <c:pt idx="5">
                  <c:v>115</c:v>
                </c:pt>
                <c:pt idx="6">
                  <c:v>125</c:v>
                </c:pt>
              </c:numCache>
            </c:numRef>
          </c:xVal>
          <c:yVal>
            <c:numRef>
              <c:f>'2024 ES CT PMI Old'!$D$8:$D$15</c:f>
              <c:numCache>
                <c:formatCode>"$"#,##0</c:formatCode>
                <c:ptCount val="8"/>
                <c:pt idx="0">
                  <c:v>3358989.5252268547</c:v>
                </c:pt>
                <c:pt idx="1">
                  <c:v>4702585.3353175968</c:v>
                </c:pt>
                <c:pt idx="2">
                  <c:v>6046181.1454083379</c:v>
                </c:pt>
                <c:pt idx="3">
                  <c:v>6717979.0504537094</c:v>
                </c:pt>
                <c:pt idx="4">
                  <c:v>7389776.95549908</c:v>
                </c:pt>
                <c:pt idx="5">
                  <c:v>8733372.7655898221</c:v>
                </c:pt>
                <c:pt idx="6">
                  <c:v>10076968.575680563</c:v>
                </c:pt>
              </c:numCache>
            </c:numRef>
          </c:yVal>
          <c:smooth val="1"/>
          <c:extLst>
            <c:ext xmlns:c16="http://schemas.microsoft.com/office/drawing/2014/chart" uri="{C3380CC4-5D6E-409C-BE32-E72D297353CC}">
              <c16:uniqueId val="{00000000-2968-4F24-A4C1-C604849F6208}"/>
            </c:ext>
          </c:extLst>
        </c:ser>
        <c:dLbls>
          <c:showLegendKey val="0"/>
          <c:showVal val="0"/>
          <c:showCatName val="0"/>
          <c:showSerName val="0"/>
          <c:showPercent val="0"/>
          <c:showBubbleSize val="0"/>
        </c:dLbls>
        <c:axId val="182951296"/>
        <c:axId val="183023488"/>
      </c:scatterChart>
      <c:valAx>
        <c:axId val="182951296"/>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a:t>Performance Achieved % of Target</a:t>
                </a:r>
              </a:p>
            </c:rich>
          </c:tx>
          <c:layout>
            <c:manualLayout>
              <c:xMode val="edge"/>
              <c:yMode val="edge"/>
              <c:x val="0.4172666373851403"/>
              <c:y val="0.95021414971032125"/>
            </c:manualLayout>
          </c:layout>
          <c:overlay val="0"/>
          <c:spPr>
            <a:noFill/>
            <a:ln w="25400">
              <a:noFill/>
            </a:ln>
          </c:spPr>
        </c:title>
        <c:numFmt formatCode="General" sourceLinked="1"/>
        <c:majorTickMark val="out"/>
        <c:minorTickMark val="none"/>
        <c:tickLblPos val="nextTo"/>
        <c:crossAx val="183023488"/>
        <c:crosses val="autoZero"/>
        <c:crossBetween val="midCat"/>
        <c:majorUnit val="10"/>
        <c:minorUnit val="5"/>
      </c:valAx>
      <c:valAx>
        <c:axId val="1830234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Incentive $ Earned</a:t>
                </a:r>
              </a:p>
            </c:rich>
          </c:tx>
          <c:layout>
            <c:manualLayout>
              <c:xMode val="edge"/>
              <c:yMode val="edge"/>
              <c:x val="1.19904067935564E-2"/>
              <c:y val="0.410447761194029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82951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4</xdr:col>
      <xdr:colOff>866775</xdr:colOff>
      <xdr:row>4</xdr:row>
      <xdr:rowOff>19050</xdr:rowOff>
    </xdr:from>
    <xdr:to>
      <xdr:col>9</xdr:col>
      <xdr:colOff>266700</xdr:colOff>
      <xdr:row>22</xdr:row>
      <xdr:rowOff>9525</xdr:rowOff>
    </xdr:to>
    <xdr:graphicFrame macro="">
      <xdr:nvGraphicFramePr>
        <xdr:cNvPr id="2" name="Chart 1">
          <a:extLst>
            <a:ext uri="{FF2B5EF4-FFF2-40B4-BE49-F238E27FC236}">
              <a16:creationId xmlns:a16="http://schemas.microsoft.com/office/drawing/2014/main" id="{B415FE86-D5D1-4042-9397-A462C5A1B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400050</xdr:colOff>
      <xdr:row>4</xdr:row>
      <xdr:rowOff>9525</xdr:rowOff>
    </xdr:from>
    <xdr:to>
      <xdr:col>4</xdr:col>
      <xdr:colOff>790575</xdr:colOff>
      <xdr:row>22</xdr:row>
      <xdr:rowOff>0</xdr:rowOff>
    </xdr:to>
    <xdr:graphicFrame macro="">
      <xdr:nvGraphicFramePr>
        <xdr:cNvPr id="3" name="Chart 2">
          <a:extLst>
            <a:ext uri="{FF2B5EF4-FFF2-40B4-BE49-F238E27FC236}">
              <a16:creationId xmlns:a16="http://schemas.microsoft.com/office/drawing/2014/main" id="{92214F76-C327-4776-A639-EF5A2E8F61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866775</xdr:colOff>
      <xdr:row>4</xdr:row>
      <xdr:rowOff>19050</xdr:rowOff>
    </xdr:from>
    <xdr:to>
      <xdr:col>9</xdr:col>
      <xdr:colOff>266700</xdr:colOff>
      <xdr:row>22</xdr:row>
      <xdr:rowOff>9525</xdr:rowOff>
    </xdr:to>
    <xdr:graphicFrame macro="">
      <xdr:nvGraphicFramePr>
        <xdr:cNvPr id="2" name="Chart 1">
          <a:extLst>
            <a:ext uri="{FF2B5EF4-FFF2-40B4-BE49-F238E27FC236}">
              <a16:creationId xmlns:a16="http://schemas.microsoft.com/office/drawing/2014/main" id="{10CBD23D-8674-4F2A-85A2-F9860D4859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400050</xdr:colOff>
      <xdr:row>4</xdr:row>
      <xdr:rowOff>9525</xdr:rowOff>
    </xdr:from>
    <xdr:to>
      <xdr:col>4</xdr:col>
      <xdr:colOff>790575</xdr:colOff>
      <xdr:row>22</xdr:row>
      <xdr:rowOff>0</xdr:rowOff>
    </xdr:to>
    <xdr:graphicFrame macro="">
      <xdr:nvGraphicFramePr>
        <xdr:cNvPr id="3" name="Chart 2">
          <a:extLst>
            <a:ext uri="{FF2B5EF4-FFF2-40B4-BE49-F238E27FC236}">
              <a16:creationId xmlns:a16="http://schemas.microsoft.com/office/drawing/2014/main" id="{456325CD-52F6-4E48-BE3F-38519F1C5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168275</xdr:colOff>
      <xdr:row>4</xdr:row>
      <xdr:rowOff>12700</xdr:rowOff>
    </xdr:from>
    <xdr:to>
      <xdr:col>10</xdr:col>
      <xdr:colOff>393700</xdr:colOff>
      <xdr:row>26</xdr:row>
      <xdr:rowOff>88900</xdr:rowOff>
    </xdr:to>
    <xdr:graphicFrame macro="">
      <xdr:nvGraphicFramePr>
        <xdr:cNvPr id="2" name="Chart 1">
          <a:extLst>
            <a:ext uri="{FF2B5EF4-FFF2-40B4-BE49-F238E27FC236}">
              <a16:creationId xmlns:a16="http://schemas.microsoft.com/office/drawing/2014/main" id="{EB574989-43E8-44E2-BD88-C95FA7D19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3</xdr:row>
      <xdr:rowOff>101600</xdr:rowOff>
    </xdr:from>
    <xdr:to>
      <xdr:col>4</xdr:col>
      <xdr:colOff>800100</xdr:colOff>
      <xdr:row>26</xdr:row>
      <xdr:rowOff>88899</xdr:rowOff>
    </xdr:to>
    <xdr:graphicFrame macro="">
      <xdr:nvGraphicFramePr>
        <xdr:cNvPr id="3" name="Chart 2">
          <a:extLst>
            <a:ext uri="{FF2B5EF4-FFF2-40B4-BE49-F238E27FC236}">
              <a16:creationId xmlns:a16="http://schemas.microsoft.com/office/drawing/2014/main" id="{4099545F-CCA6-45B7-8523-EEFA57E63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28</xdr:row>
      <xdr:rowOff>774700</xdr:rowOff>
    </xdr:from>
    <xdr:to>
      <xdr:col>18</xdr:col>
      <xdr:colOff>76200</xdr:colOff>
      <xdr:row>46</xdr:row>
      <xdr:rowOff>152400</xdr:rowOff>
    </xdr:to>
    <xdr:graphicFrame macro="">
      <xdr:nvGraphicFramePr>
        <xdr:cNvPr id="4" name="Chart 3">
          <a:extLst>
            <a:ext uri="{FF2B5EF4-FFF2-40B4-BE49-F238E27FC236}">
              <a16:creationId xmlns:a16="http://schemas.microsoft.com/office/drawing/2014/main" id="{433E7EDA-E9B0-4D10-876F-C2CF1715E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63501</xdr:colOff>
      <xdr:row>47</xdr:row>
      <xdr:rowOff>88900</xdr:rowOff>
    </xdr:from>
    <xdr:to>
      <xdr:col>18</xdr:col>
      <xdr:colOff>88900</xdr:colOff>
      <xdr:row>70</xdr:row>
      <xdr:rowOff>63500</xdr:rowOff>
    </xdr:to>
    <xdr:graphicFrame macro="">
      <xdr:nvGraphicFramePr>
        <xdr:cNvPr id="5" name="Chart 4">
          <a:extLst>
            <a:ext uri="{FF2B5EF4-FFF2-40B4-BE49-F238E27FC236}">
              <a16:creationId xmlns:a16="http://schemas.microsoft.com/office/drawing/2014/main" id="{D5EC8F16-9AC5-40CB-B871-FED10A7D5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866775</xdr:colOff>
      <xdr:row>4</xdr:row>
      <xdr:rowOff>19050</xdr:rowOff>
    </xdr:from>
    <xdr:to>
      <xdr:col>9</xdr:col>
      <xdr:colOff>266700</xdr:colOff>
      <xdr:row>22</xdr:row>
      <xdr:rowOff>9525</xdr:rowOff>
    </xdr:to>
    <xdr:graphicFrame macro="">
      <xdr:nvGraphicFramePr>
        <xdr:cNvPr id="2" name="Chart 1">
          <a:extLst>
            <a:ext uri="{FF2B5EF4-FFF2-40B4-BE49-F238E27FC236}">
              <a16:creationId xmlns:a16="http://schemas.microsoft.com/office/drawing/2014/main" id="{90963F17-5436-48A1-B256-B5DB05406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400050</xdr:colOff>
      <xdr:row>4</xdr:row>
      <xdr:rowOff>9525</xdr:rowOff>
    </xdr:from>
    <xdr:to>
      <xdr:col>4</xdr:col>
      <xdr:colOff>790575</xdr:colOff>
      <xdr:row>22</xdr:row>
      <xdr:rowOff>0</xdr:rowOff>
    </xdr:to>
    <xdr:graphicFrame macro="">
      <xdr:nvGraphicFramePr>
        <xdr:cNvPr id="3" name="Chart 2">
          <a:extLst>
            <a:ext uri="{FF2B5EF4-FFF2-40B4-BE49-F238E27FC236}">
              <a16:creationId xmlns:a16="http://schemas.microsoft.com/office/drawing/2014/main" id="{1F015A13-3A9B-488C-8E6A-A20B2E49C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180975</xdr:colOff>
      <xdr:row>3</xdr:row>
      <xdr:rowOff>133350</xdr:rowOff>
    </xdr:from>
    <xdr:to>
      <xdr:col>9</xdr:col>
      <xdr:colOff>571500</xdr:colOff>
      <xdr:row>25</xdr:row>
      <xdr:rowOff>127000</xdr:rowOff>
    </xdr:to>
    <xdr:graphicFrame macro="">
      <xdr:nvGraphicFramePr>
        <xdr:cNvPr id="10" name="Chart 9">
          <a:extLst>
            <a:ext uri="{FF2B5EF4-FFF2-40B4-BE49-F238E27FC236}">
              <a16:creationId xmlns:a16="http://schemas.microsoft.com/office/drawing/2014/main" id="{A51F8273-A92F-44FB-9152-D55B91EA9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317500</xdr:colOff>
      <xdr:row>3</xdr:row>
      <xdr:rowOff>101601</xdr:rowOff>
    </xdr:from>
    <xdr:to>
      <xdr:col>5</xdr:col>
      <xdr:colOff>38100</xdr:colOff>
      <xdr:row>25</xdr:row>
      <xdr:rowOff>101601</xdr:rowOff>
    </xdr:to>
    <xdr:graphicFrame macro="">
      <xdr:nvGraphicFramePr>
        <xdr:cNvPr id="11" name="Chart 10">
          <a:extLst>
            <a:ext uri="{FF2B5EF4-FFF2-40B4-BE49-F238E27FC236}">
              <a16:creationId xmlns:a16="http://schemas.microsoft.com/office/drawing/2014/main" id="{C49A5491-5E51-4638-9A91-BE4B2FF81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533400</xdr:colOff>
      <xdr:row>25</xdr:row>
      <xdr:rowOff>12700</xdr:rowOff>
    </xdr:from>
    <xdr:to>
      <xdr:col>18</xdr:col>
      <xdr:colOff>63500</xdr:colOff>
      <xdr:row>41</xdr:row>
      <xdr:rowOff>190500</xdr:rowOff>
    </xdr:to>
    <xdr:graphicFrame macro="">
      <xdr:nvGraphicFramePr>
        <xdr:cNvPr id="12" name="Chart 11">
          <a:extLst>
            <a:ext uri="{FF2B5EF4-FFF2-40B4-BE49-F238E27FC236}">
              <a16:creationId xmlns:a16="http://schemas.microsoft.com/office/drawing/2014/main" id="{E9911357-B7DB-4785-8575-F085B959F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469900</xdr:colOff>
      <xdr:row>42</xdr:row>
      <xdr:rowOff>25400</xdr:rowOff>
    </xdr:from>
    <xdr:to>
      <xdr:col>17</xdr:col>
      <xdr:colOff>584200</xdr:colOff>
      <xdr:row>66</xdr:row>
      <xdr:rowOff>88900</xdr:rowOff>
    </xdr:to>
    <xdr:graphicFrame macro="">
      <xdr:nvGraphicFramePr>
        <xdr:cNvPr id="13" name="Chart 12">
          <a:extLst>
            <a:ext uri="{FF2B5EF4-FFF2-40B4-BE49-F238E27FC236}">
              <a16:creationId xmlns:a16="http://schemas.microsoft.com/office/drawing/2014/main" id="{4B290FE0-022A-4262-BF86-78775C6DC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866775</xdr:colOff>
      <xdr:row>4</xdr:row>
      <xdr:rowOff>19050</xdr:rowOff>
    </xdr:from>
    <xdr:to>
      <xdr:col>9</xdr:col>
      <xdr:colOff>266700</xdr:colOff>
      <xdr:row>22</xdr:row>
      <xdr:rowOff>9525</xdr:rowOff>
    </xdr:to>
    <xdr:graphicFrame macro="">
      <xdr:nvGraphicFramePr>
        <xdr:cNvPr id="2" name="Chart 1">
          <a:extLst>
            <a:ext uri="{FF2B5EF4-FFF2-40B4-BE49-F238E27FC236}">
              <a16:creationId xmlns:a16="http://schemas.microsoft.com/office/drawing/2014/main" id="{2FDA81AC-5459-4E40-BBA1-09346E335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400050</xdr:colOff>
      <xdr:row>4</xdr:row>
      <xdr:rowOff>9525</xdr:rowOff>
    </xdr:from>
    <xdr:to>
      <xdr:col>4</xdr:col>
      <xdr:colOff>790575</xdr:colOff>
      <xdr:row>22</xdr:row>
      <xdr:rowOff>0</xdr:rowOff>
    </xdr:to>
    <xdr:graphicFrame macro="">
      <xdr:nvGraphicFramePr>
        <xdr:cNvPr id="3" name="Chart 2">
          <a:extLst>
            <a:ext uri="{FF2B5EF4-FFF2-40B4-BE49-F238E27FC236}">
              <a16:creationId xmlns:a16="http://schemas.microsoft.com/office/drawing/2014/main" id="{2CC38312-F948-4113-B794-851387EDD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333375</xdr:colOff>
      <xdr:row>4</xdr:row>
      <xdr:rowOff>82550</xdr:rowOff>
    </xdr:from>
    <xdr:to>
      <xdr:col>10</xdr:col>
      <xdr:colOff>317500</xdr:colOff>
      <xdr:row>26</xdr:row>
      <xdr:rowOff>139700</xdr:rowOff>
    </xdr:to>
    <xdr:graphicFrame macro="">
      <xdr:nvGraphicFramePr>
        <xdr:cNvPr id="22" name="Chart 21">
          <a:extLst>
            <a:ext uri="{FF2B5EF4-FFF2-40B4-BE49-F238E27FC236}">
              <a16:creationId xmlns:a16="http://schemas.microsoft.com/office/drawing/2014/main" id="{A12670AC-B181-4A97-81EB-9D9FE3B5A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4</xdr:row>
      <xdr:rowOff>88900</xdr:rowOff>
    </xdr:from>
    <xdr:to>
      <xdr:col>5</xdr:col>
      <xdr:colOff>165100</xdr:colOff>
      <xdr:row>26</xdr:row>
      <xdr:rowOff>76200</xdr:rowOff>
    </xdr:to>
    <xdr:graphicFrame macro="">
      <xdr:nvGraphicFramePr>
        <xdr:cNvPr id="23" name="Chart 22">
          <a:extLst>
            <a:ext uri="{FF2B5EF4-FFF2-40B4-BE49-F238E27FC236}">
              <a16:creationId xmlns:a16="http://schemas.microsoft.com/office/drawing/2014/main" id="{299BEAC5-B1B7-41F8-987D-300FAE273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50800</xdr:colOff>
      <xdr:row>28</xdr:row>
      <xdr:rowOff>825500</xdr:rowOff>
    </xdr:from>
    <xdr:to>
      <xdr:col>18</xdr:col>
      <xdr:colOff>114300</xdr:colOff>
      <xdr:row>47</xdr:row>
      <xdr:rowOff>228600</xdr:rowOff>
    </xdr:to>
    <xdr:graphicFrame macro="">
      <xdr:nvGraphicFramePr>
        <xdr:cNvPr id="24" name="Chart 23">
          <a:extLst>
            <a:ext uri="{FF2B5EF4-FFF2-40B4-BE49-F238E27FC236}">
              <a16:creationId xmlns:a16="http://schemas.microsoft.com/office/drawing/2014/main" id="{50BA9BBB-6913-4454-9C81-649AFAAE8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50800</xdr:colOff>
      <xdr:row>49</xdr:row>
      <xdr:rowOff>12700</xdr:rowOff>
    </xdr:from>
    <xdr:to>
      <xdr:col>18</xdr:col>
      <xdr:colOff>127000</xdr:colOff>
      <xdr:row>75</xdr:row>
      <xdr:rowOff>152400</xdr:rowOff>
    </xdr:to>
    <xdr:graphicFrame macro="">
      <xdr:nvGraphicFramePr>
        <xdr:cNvPr id="25" name="Chart 24">
          <a:extLst>
            <a:ext uri="{FF2B5EF4-FFF2-40B4-BE49-F238E27FC236}">
              <a16:creationId xmlns:a16="http://schemas.microsoft.com/office/drawing/2014/main" id="{910CE7B4-F570-4E89-A70F-39F7EB6C5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95250</xdr:colOff>
      <xdr:row>3</xdr:row>
      <xdr:rowOff>66675</xdr:rowOff>
    </xdr:from>
    <xdr:to>
      <xdr:col>14</xdr:col>
      <xdr:colOff>177800</xdr:colOff>
      <xdr:row>26</xdr:row>
      <xdr:rowOff>47625</xdr:rowOff>
    </xdr:to>
    <xdr:graphicFrame macro="">
      <xdr:nvGraphicFramePr>
        <xdr:cNvPr id="2" name="Chart 1">
          <a:extLst>
            <a:ext uri="{FF2B5EF4-FFF2-40B4-BE49-F238E27FC236}">
              <a16:creationId xmlns:a16="http://schemas.microsoft.com/office/drawing/2014/main" id="{F0F379B8-A741-44E0-85EF-E622CDF5A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xdr:row>
      <xdr:rowOff>66675</xdr:rowOff>
    </xdr:from>
    <xdr:to>
      <xdr:col>5</xdr:col>
      <xdr:colOff>866775</xdr:colOff>
      <xdr:row>26</xdr:row>
      <xdr:rowOff>28575</xdr:rowOff>
    </xdr:to>
    <xdr:graphicFrame macro="">
      <xdr:nvGraphicFramePr>
        <xdr:cNvPr id="3" name="Chart 2">
          <a:extLst>
            <a:ext uri="{FF2B5EF4-FFF2-40B4-BE49-F238E27FC236}">
              <a16:creationId xmlns:a16="http://schemas.microsoft.com/office/drawing/2014/main" id="{0566DBD7-A44E-4621-9C53-F8E35D72B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95250</xdr:colOff>
      <xdr:row>3</xdr:row>
      <xdr:rowOff>66675</xdr:rowOff>
    </xdr:from>
    <xdr:to>
      <xdr:col>14</xdr:col>
      <xdr:colOff>177800</xdr:colOff>
      <xdr:row>26</xdr:row>
      <xdr:rowOff>47625</xdr:rowOff>
    </xdr:to>
    <xdr:graphicFrame macro="">
      <xdr:nvGraphicFramePr>
        <xdr:cNvPr id="2" name="Chart 1">
          <a:extLst>
            <a:ext uri="{FF2B5EF4-FFF2-40B4-BE49-F238E27FC236}">
              <a16:creationId xmlns:a16="http://schemas.microsoft.com/office/drawing/2014/main" id="{7E9C3DAB-BD84-4ED2-87D0-DB4A83DAB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xdr:row>
      <xdr:rowOff>66675</xdr:rowOff>
    </xdr:from>
    <xdr:to>
      <xdr:col>5</xdr:col>
      <xdr:colOff>866775</xdr:colOff>
      <xdr:row>26</xdr:row>
      <xdr:rowOff>28575</xdr:rowOff>
    </xdr:to>
    <xdr:graphicFrame macro="">
      <xdr:nvGraphicFramePr>
        <xdr:cNvPr id="3" name="Chart 2">
          <a:extLst>
            <a:ext uri="{FF2B5EF4-FFF2-40B4-BE49-F238E27FC236}">
              <a16:creationId xmlns:a16="http://schemas.microsoft.com/office/drawing/2014/main" id="{1B738C8C-FB91-44F4-A890-FF6593DFB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95250</xdr:colOff>
      <xdr:row>3</xdr:row>
      <xdr:rowOff>66675</xdr:rowOff>
    </xdr:from>
    <xdr:to>
      <xdr:col>14</xdr:col>
      <xdr:colOff>177800</xdr:colOff>
      <xdr:row>26</xdr:row>
      <xdr:rowOff>47625</xdr:rowOff>
    </xdr:to>
    <xdr:graphicFrame macro="">
      <xdr:nvGraphicFramePr>
        <xdr:cNvPr id="2" name="Chart 1">
          <a:extLst>
            <a:ext uri="{FF2B5EF4-FFF2-40B4-BE49-F238E27FC236}">
              <a16:creationId xmlns:a16="http://schemas.microsoft.com/office/drawing/2014/main" id="{F6E07659-904D-4D94-B0B1-AA9C77CEE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xdr:row>
      <xdr:rowOff>66675</xdr:rowOff>
    </xdr:from>
    <xdr:to>
      <xdr:col>5</xdr:col>
      <xdr:colOff>866775</xdr:colOff>
      <xdr:row>26</xdr:row>
      <xdr:rowOff>28575</xdr:rowOff>
    </xdr:to>
    <xdr:graphicFrame macro="">
      <xdr:nvGraphicFramePr>
        <xdr:cNvPr id="3" name="Chart 2">
          <a:extLst>
            <a:ext uri="{FF2B5EF4-FFF2-40B4-BE49-F238E27FC236}">
              <a16:creationId xmlns:a16="http://schemas.microsoft.com/office/drawing/2014/main" id="{CEBE1C30-D697-445E-9AD9-A59F44285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95250</xdr:colOff>
      <xdr:row>3</xdr:row>
      <xdr:rowOff>66675</xdr:rowOff>
    </xdr:from>
    <xdr:to>
      <xdr:col>14</xdr:col>
      <xdr:colOff>177800</xdr:colOff>
      <xdr:row>26</xdr:row>
      <xdr:rowOff>47625</xdr:rowOff>
    </xdr:to>
    <xdr:graphicFrame macro="">
      <xdr:nvGraphicFramePr>
        <xdr:cNvPr id="2" name="Chart 1">
          <a:extLst>
            <a:ext uri="{FF2B5EF4-FFF2-40B4-BE49-F238E27FC236}">
              <a16:creationId xmlns:a16="http://schemas.microsoft.com/office/drawing/2014/main" id="{D6FA7295-7C7F-45C9-840E-720E64A5C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xdr:row>
      <xdr:rowOff>66675</xdr:rowOff>
    </xdr:from>
    <xdr:to>
      <xdr:col>5</xdr:col>
      <xdr:colOff>866775</xdr:colOff>
      <xdr:row>26</xdr:row>
      <xdr:rowOff>28575</xdr:rowOff>
    </xdr:to>
    <xdr:graphicFrame macro="">
      <xdr:nvGraphicFramePr>
        <xdr:cNvPr id="3" name="Chart 2">
          <a:extLst>
            <a:ext uri="{FF2B5EF4-FFF2-40B4-BE49-F238E27FC236}">
              <a16:creationId xmlns:a16="http://schemas.microsoft.com/office/drawing/2014/main" id="{29D26F6A-405D-451C-A8ED-7A9DF01B7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95250</xdr:colOff>
      <xdr:row>3</xdr:row>
      <xdr:rowOff>66675</xdr:rowOff>
    </xdr:from>
    <xdr:to>
      <xdr:col>14</xdr:col>
      <xdr:colOff>177800</xdr:colOff>
      <xdr:row>26</xdr:row>
      <xdr:rowOff>47625</xdr:rowOff>
    </xdr:to>
    <xdr:graphicFrame macro="">
      <xdr:nvGraphicFramePr>
        <xdr:cNvPr id="2" name="Chart 1">
          <a:extLst>
            <a:ext uri="{FF2B5EF4-FFF2-40B4-BE49-F238E27FC236}">
              <a16:creationId xmlns:a16="http://schemas.microsoft.com/office/drawing/2014/main" id="{45CFFA01-A3A0-4E1E-B0A6-D06C64B28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xdr:row>
      <xdr:rowOff>66675</xdr:rowOff>
    </xdr:from>
    <xdr:to>
      <xdr:col>5</xdr:col>
      <xdr:colOff>866775</xdr:colOff>
      <xdr:row>26</xdr:row>
      <xdr:rowOff>28575</xdr:rowOff>
    </xdr:to>
    <xdr:graphicFrame macro="">
      <xdr:nvGraphicFramePr>
        <xdr:cNvPr id="3" name="Chart 2">
          <a:extLst>
            <a:ext uri="{FF2B5EF4-FFF2-40B4-BE49-F238E27FC236}">
              <a16:creationId xmlns:a16="http://schemas.microsoft.com/office/drawing/2014/main" id="{21B70DC8-6C9A-421C-B0FA-B00EFB7E4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485775</xdr:colOff>
      <xdr:row>7</xdr:row>
      <xdr:rowOff>47625</xdr:rowOff>
    </xdr:from>
    <xdr:to>
      <xdr:col>5</xdr:col>
      <xdr:colOff>933450</xdr:colOff>
      <xdr:row>30</xdr:row>
      <xdr:rowOff>133350</xdr:rowOff>
    </xdr:to>
    <xdr:graphicFrame macro="">
      <xdr:nvGraphicFramePr>
        <xdr:cNvPr id="2" name="Chart 1">
          <a:extLst>
            <a:ext uri="{FF2B5EF4-FFF2-40B4-BE49-F238E27FC236}">
              <a16:creationId xmlns:a16="http://schemas.microsoft.com/office/drawing/2014/main" id="{785ADB12-2591-49C7-B5FA-6960A1B0D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95250</xdr:colOff>
      <xdr:row>3</xdr:row>
      <xdr:rowOff>66675</xdr:rowOff>
    </xdr:from>
    <xdr:to>
      <xdr:col>14</xdr:col>
      <xdr:colOff>177800</xdr:colOff>
      <xdr:row>26</xdr:row>
      <xdr:rowOff>47625</xdr:rowOff>
    </xdr:to>
    <xdr:graphicFrame macro="">
      <xdr:nvGraphicFramePr>
        <xdr:cNvPr id="2" name="Chart 1">
          <a:extLst>
            <a:ext uri="{FF2B5EF4-FFF2-40B4-BE49-F238E27FC236}">
              <a16:creationId xmlns:a16="http://schemas.microsoft.com/office/drawing/2014/main" id="{F6F7AC0D-2463-4CC7-BA94-84B815F71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xdr:row>
      <xdr:rowOff>66675</xdr:rowOff>
    </xdr:from>
    <xdr:to>
      <xdr:col>5</xdr:col>
      <xdr:colOff>866775</xdr:colOff>
      <xdr:row>26</xdr:row>
      <xdr:rowOff>28575</xdr:rowOff>
    </xdr:to>
    <xdr:graphicFrame macro="">
      <xdr:nvGraphicFramePr>
        <xdr:cNvPr id="3" name="Chart 2">
          <a:extLst>
            <a:ext uri="{FF2B5EF4-FFF2-40B4-BE49-F238E27FC236}">
              <a16:creationId xmlns:a16="http://schemas.microsoft.com/office/drawing/2014/main" id="{B262E7D3-DA95-487F-983F-071CEE112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485775</xdr:colOff>
      <xdr:row>7</xdr:row>
      <xdr:rowOff>47625</xdr:rowOff>
    </xdr:from>
    <xdr:to>
      <xdr:col>5</xdr:col>
      <xdr:colOff>933450</xdr:colOff>
      <xdr:row>30</xdr:row>
      <xdr:rowOff>133350</xdr:rowOff>
    </xdr:to>
    <xdr:graphicFrame macro="">
      <xdr:nvGraphicFramePr>
        <xdr:cNvPr id="2" name="Chart 1">
          <a:extLst>
            <a:ext uri="{FF2B5EF4-FFF2-40B4-BE49-F238E27FC236}">
              <a16:creationId xmlns:a16="http://schemas.microsoft.com/office/drawing/2014/main" id="{5D65E26D-D17F-4BA5-8E70-BACF1596D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485775</xdr:colOff>
      <xdr:row>7</xdr:row>
      <xdr:rowOff>47625</xdr:rowOff>
    </xdr:from>
    <xdr:to>
      <xdr:col>5</xdr:col>
      <xdr:colOff>933450</xdr:colOff>
      <xdr:row>30</xdr:row>
      <xdr:rowOff>133350</xdr:rowOff>
    </xdr:to>
    <xdr:graphicFrame macro="">
      <xdr:nvGraphicFramePr>
        <xdr:cNvPr id="2" name="Chart 1">
          <a:extLst>
            <a:ext uri="{FF2B5EF4-FFF2-40B4-BE49-F238E27FC236}">
              <a16:creationId xmlns:a16="http://schemas.microsoft.com/office/drawing/2014/main" id="{55E49763-BB13-4C93-9297-B6E692C9F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485775</xdr:colOff>
      <xdr:row>7</xdr:row>
      <xdr:rowOff>47625</xdr:rowOff>
    </xdr:from>
    <xdr:to>
      <xdr:col>5</xdr:col>
      <xdr:colOff>933450</xdr:colOff>
      <xdr:row>30</xdr:row>
      <xdr:rowOff>133350</xdr:rowOff>
    </xdr:to>
    <xdr:graphicFrame macro="">
      <xdr:nvGraphicFramePr>
        <xdr:cNvPr id="2" name="Chart 1">
          <a:extLst>
            <a:ext uri="{FF2B5EF4-FFF2-40B4-BE49-F238E27FC236}">
              <a16:creationId xmlns:a16="http://schemas.microsoft.com/office/drawing/2014/main" id="{1F57BA3B-8833-455F-9A7C-C114B4E7C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914400</xdr:colOff>
      <xdr:row>5</xdr:row>
      <xdr:rowOff>228601</xdr:rowOff>
    </xdr:from>
    <xdr:to>
      <xdr:col>12</xdr:col>
      <xdr:colOff>381000</xdr:colOff>
      <xdr:row>20</xdr:row>
      <xdr:rowOff>114301</xdr:rowOff>
    </xdr:to>
    <xdr:graphicFrame macro="">
      <xdr:nvGraphicFramePr>
        <xdr:cNvPr id="2" name="Chart 27">
          <a:extLst>
            <a:ext uri="{FF2B5EF4-FFF2-40B4-BE49-F238E27FC236}">
              <a16:creationId xmlns:a16="http://schemas.microsoft.com/office/drawing/2014/main" id="{D1E57957-13BB-4B6E-B520-8A5380789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914400</xdr:colOff>
      <xdr:row>5</xdr:row>
      <xdr:rowOff>228601</xdr:rowOff>
    </xdr:from>
    <xdr:to>
      <xdr:col>13</xdr:col>
      <xdr:colOff>381000</xdr:colOff>
      <xdr:row>20</xdr:row>
      <xdr:rowOff>114301</xdr:rowOff>
    </xdr:to>
    <xdr:graphicFrame macro="">
      <xdr:nvGraphicFramePr>
        <xdr:cNvPr id="2" name="Chart 27">
          <a:extLst>
            <a:ext uri="{FF2B5EF4-FFF2-40B4-BE49-F238E27FC236}">
              <a16:creationId xmlns:a16="http://schemas.microsoft.com/office/drawing/2014/main" id="{03DE807A-E662-4FE8-B5F0-FA3D8A0D1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914400</xdr:colOff>
      <xdr:row>5</xdr:row>
      <xdr:rowOff>228601</xdr:rowOff>
    </xdr:from>
    <xdr:to>
      <xdr:col>13</xdr:col>
      <xdr:colOff>381000</xdr:colOff>
      <xdr:row>20</xdr:row>
      <xdr:rowOff>114301</xdr:rowOff>
    </xdr:to>
    <xdr:graphicFrame macro="">
      <xdr:nvGraphicFramePr>
        <xdr:cNvPr id="2" name="Chart 27">
          <a:extLst>
            <a:ext uri="{FF2B5EF4-FFF2-40B4-BE49-F238E27FC236}">
              <a16:creationId xmlns:a16="http://schemas.microsoft.com/office/drawing/2014/main" id="{EE335CAE-33DF-4C12-B28E-00B7F5B94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914400</xdr:colOff>
      <xdr:row>5</xdr:row>
      <xdr:rowOff>228601</xdr:rowOff>
    </xdr:from>
    <xdr:to>
      <xdr:col>13</xdr:col>
      <xdr:colOff>381000</xdr:colOff>
      <xdr:row>20</xdr:row>
      <xdr:rowOff>114301</xdr:rowOff>
    </xdr:to>
    <xdr:graphicFrame macro="">
      <xdr:nvGraphicFramePr>
        <xdr:cNvPr id="2" name="Chart 27">
          <a:extLst>
            <a:ext uri="{FF2B5EF4-FFF2-40B4-BE49-F238E27FC236}">
              <a16:creationId xmlns:a16="http://schemas.microsoft.com/office/drawing/2014/main" id="{3204526C-637D-47F1-8641-DA7FC9D8C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914400</xdr:colOff>
      <xdr:row>5</xdr:row>
      <xdr:rowOff>228601</xdr:rowOff>
    </xdr:from>
    <xdr:to>
      <xdr:col>12</xdr:col>
      <xdr:colOff>381000</xdr:colOff>
      <xdr:row>20</xdr:row>
      <xdr:rowOff>114301</xdr:rowOff>
    </xdr:to>
    <xdr:graphicFrame macro="">
      <xdr:nvGraphicFramePr>
        <xdr:cNvPr id="2" name="Chart 27">
          <a:extLst>
            <a:ext uri="{FF2B5EF4-FFF2-40B4-BE49-F238E27FC236}">
              <a16:creationId xmlns:a16="http://schemas.microsoft.com/office/drawing/2014/main" id="{A1DF363D-5EC8-44F0-9EC0-1108E1ADF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914400</xdr:colOff>
      <xdr:row>5</xdr:row>
      <xdr:rowOff>228601</xdr:rowOff>
    </xdr:from>
    <xdr:to>
      <xdr:col>12</xdr:col>
      <xdr:colOff>381000</xdr:colOff>
      <xdr:row>20</xdr:row>
      <xdr:rowOff>114301</xdr:rowOff>
    </xdr:to>
    <xdr:graphicFrame macro="">
      <xdr:nvGraphicFramePr>
        <xdr:cNvPr id="2" name="Chart 27">
          <a:extLst>
            <a:ext uri="{FF2B5EF4-FFF2-40B4-BE49-F238E27FC236}">
              <a16:creationId xmlns:a16="http://schemas.microsoft.com/office/drawing/2014/main" id="{9C4094A2-8B7B-4F17-9F76-EB5946F28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data/MPR/MKTPLAN/2009%20eafc/2009%20Review%20-%204Q/Copy%20of%202009%20CLM%20BUDGET%20MASTER_Final%20Decision-ProRated%20by%20Sec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WRK_GRP\Energy%20Conservation\2009%20Budget%20Filing\Stilmulus%20Backup\C&amp;LM%20Combined%20Budget%20%20-%20Stimulus%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WRK_GRP/Energy%20Conservation/2010%20Docket%2009-10-03%20EL-17%20thru%20EL-33/Attachment%20EL-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artmentData/UG-C&amp;LM/Deptdata/MPR/MKTPLAN/2005%20eafc/2005%20Budget/2005%20C&amp;LM%20Plan%20Master%20Document/Final%20Filing%20112204/Exhibit%201-2005%20CLM%20CLP%20&amp;%20UI%20Tables%20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ptdata/MPR/KPI/Monthly%20Reports/2009/KPI_input_worksheet_09%20Revised_Jan%202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mpaks\AppData\Local\Microsoft\Windows\INetCache\Content.Outlook\PRFDQMPX\2022-2024%20EE%20BUDGET%20MASTER%20-%20ELECTRIC%20%2003-01-22%20Fil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tdata/MPR/MKTPLAN/2016%20eafc/2016-2018%20EE%20Plan/Electric/2016-2018%20EE%20BUDGET%20MASTER%20-%20Electr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NT/TEMP/C.Lotus.Notes.Data/2002_CL&amp;P_Res_TWas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TEMP\C.Lotus.Notes.Data\2002_CL&amp;P_Res_TWas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Yankee%20Gas\YGS%20ROR%20Schedule%20December%202003%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eptdata/MPR/KPI/Monthly%20Reports/2008/2009%20CLM%20BUDGET%20MASTER_50M_092108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WRK_GRP/Energy%20Conservation/2009%20Budget%20Filing/2009CLMBUDGET_CLP&amp;UI_081208j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epartmentData/UG-C&amp;LM/Deptdata/MPR/MKTPLAN/2021%20eafc/March%20Filing%2003-01-2021/UIL%20Files/UI%20Tables%20A%20thru%20D%20with%20PMI%20%202.4.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epartmentData/UG-C&amp;LM/Deptdata/MPR/MKTPLAN/2022%20eafc/March%20Filing%2003-01-2022/UIL%20Files/2022-24%20UI%20%20Budgets%20%202.2.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epartmentData/UG-C&amp;LM/Deptdata/MPR/MKTPLAN/2023%20eafc/UI%20All%20Files/2023-25%20Proposed%20UI%20Budget%20with%20Pi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epartmentData/UG-C&amp;LM/Deptdata/MPR/MKTPLAN/2022%20eafc/March%20Filing%2003-01-2022/Electric/2022-2024%20EE%20BUDGET%20MASTER%20-%20ELECTRIC%20%2003-01-22%20Filin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eptdata/MPR/MKTPLAN/2023%20eafc/New%20Pie%20Charts%20for%20the%202022-2024%20-%20need%20to%20update%20-%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epartmentData/UG-C&amp;LM/Deptdata/MPR/MKTPLAN/2023%20eafc/Screening%20Models/Nov_2022_Filing/2-ES_%202022-2024_Nov%2022_Filing_Model_Oct_7_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epartmentData/UG-C&amp;LM/Deptdata/MPR/MKTPLAN/2020%20eafc/Ghani%20-%20Planning%20Models_Table%20B's/March%20Filing/ES%202020_2021_CT_March1%20filing%20Screening.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epartmentData/UG-C&amp;LM/Deptdata/MPR/MKTPLAN/2021%20eafc/2021%20Screening%20Model/March%20Filing/Final%20Model/ES_2021_%20Screening%20Model_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09 Combined Table A1 "/>
      <sheetName val=" 2009 Comb Revenues A2"/>
      <sheetName val="2009 Joint Table A1 Pies"/>
      <sheetName val="CLP Table A  "/>
      <sheetName val="CLP Table A _Final Decision"/>
      <sheetName val="CL&amp;P 2009 Table A Pie Chart"/>
      <sheetName val="CLP Table B - 2009 Comparison"/>
      <sheetName val="CLP Table B1"/>
      <sheetName val="Table C 2009 "/>
      <sheetName val="2009 Table C Pie Chart"/>
      <sheetName val="2009 CLP Table D"/>
      <sheetName val="2009 CLP Table D1"/>
      <sheetName val="2008  CLP PMF Exhibit 4"/>
    </sheetNames>
    <sheetDataSet>
      <sheetData sheetId="0" refreshError="1"/>
      <sheetData sheetId="1" refreshError="1"/>
      <sheetData sheetId="2" refreshError="1"/>
      <sheetData sheetId="3" refreshError="1">
        <row r="5">
          <cell r="H5" t="str">
            <v xml:space="preserve">Allocation of </v>
          </cell>
          <cell r="I5">
            <v>2005</v>
          </cell>
          <cell r="J5" t="str">
            <v xml:space="preserve">2005 DPUC </v>
          </cell>
          <cell r="M5" t="str">
            <v>Note 2</v>
          </cell>
          <cell r="N5">
            <v>2005</v>
          </cell>
        </row>
        <row r="6">
          <cell r="H6" t="str">
            <v xml:space="preserve">Additional </v>
          </cell>
          <cell r="I6" t="str">
            <v>CL&amp;P</v>
          </cell>
          <cell r="J6" t="str">
            <v xml:space="preserve">Adjustments </v>
          </cell>
          <cell r="M6" t="str">
            <v xml:space="preserve">Allocation </v>
          </cell>
          <cell r="N6" t="str">
            <v>CL&amp;P</v>
          </cell>
        </row>
        <row r="7">
          <cell r="H7" t="str">
            <v>Funds</v>
          </cell>
          <cell r="I7" t="str">
            <v xml:space="preserve">DPUC </v>
          </cell>
          <cell r="J7" t="str">
            <v xml:space="preserve">for General </v>
          </cell>
          <cell r="M7" t="str">
            <v xml:space="preserve">of </v>
          </cell>
          <cell r="N7" t="str">
            <v xml:space="preserve">Revised </v>
          </cell>
        </row>
        <row r="8">
          <cell r="I8" t="str">
            <v>Decision</v>
          </cell>
          <cell r="J8" t="str">
            <v>Awareness</v>
          </cell>
          <cell r="M8" t="str">
            <v>Additional</v>
          </cell>
          <cell r="N8" t="str">
            <v xml:space="preserve">Budget </v>
          </cell>
        </row>
        <row r="9">
          <cell r="H9" t="str">
            <v>LF-005</v>
          </cell>
          <cell r="I9">
            <v>38441</v>
          </cell>
          <cell r="J9" t="str">
            <v>Campaign</v>
          </cell>
          <cell r="M9" t="str">
            <v xml:space="preserve"> Interest</v>
          </cell>
          <cell r="N9">
            <v>38533</v>
          </cell>
        </row>
        <row r="11">
          <cell r="H11">
            <v>450000</v>
          </cell>
          <cell r="I11">
            <v>0</v>
          </cell>
          <cell r="K11">
            <v>287000</v>
          </cell>
          <cell r="M11">
            <v>66928</v>
          </cell>
          <cell r="N11">
            <v>4325928</v>
          </cell>
          <cell r="O11">
            <v>4857700</v>
          </cell>
        </row>
        <row r="12">
          <cell r="I12">
            <v>0</v>
          </cell>
          <cell r="K12">
            <v>287000</v>
          </cell>
          <cell r="M12">
            <v>17867</v>
          </cell>
          <cell r="N12">
            <v>1154867</v>
          </cell>
          <cell r="O12">
            <v>0</v>
          </cell>
        </row>
        <row r="13">
          <cell r="I13">
            <v>0</v>
          </cell>
          <cell r="M13">
            <v>39286</v>
          </cell>
          <cell r="N13">
            <v>2539286</v>
          </cell>
          <cell r="O13">
            <v>625000</v>
          </cell>
        </row>
        <row r="14">
          <cell r="I14">
            <v>0</v>
          </cell>
          <cell r="M14">
            <v>7857</v>
          </cell>
          <cell r="N14">
            <v>507857</v>
          </cell>
          <cell r="O14">
            <v>0</v>
          </cell>
        </row>
        <row r="16">
          <cell r="H16">
            <v>450000</v>
          </cell>
          <cell r="I16">
            <v>0</v>
          </cell>
          <cell r="J16">
            <v>0</v>
          </cell>
          <cell r="M16">
            <v>131938</v>
          </cell>
          <cell r="N16">
            <v>8527938</v>
          </cell>
          <cell r="O16">
            <v>5482700</v>
          </cell>
        </row>
        <row r="17">
          <cell r="I17">
            <v>0</v>
          </cell>
          <cell r="M17">
            <v>20429</v>
          </cell>
          <cell r="N17">
            <v>1320429</v>
          </cell>
          <cell r="O17">
            <v>1394000</v>
          </cell>
        </row>
        <row r="18">
          <cell r="H18">
            <v>450000</v>
          </cell>
          <cell r="I18">
            <v>0</v>
          </cell>
          <cell r="M18">
            <v>52989</v>
          </cell>
          <cell r="N18">
            <v>3424989</v>
          </cell>
          <cell r="O18">
            <v>2922000</v>
          </cell>
        </row>
        <row r="19">
          <cell r="H19">
            <v>800000</v>
          </cell>
          <cell r="I19">
            <v>0</v>
          </cell>
          <cell r="M19">
            <v>91143</v>
          </cell>
          <cell r="N19">
            <v>5891143</v>
          </cell>
          <cell r="O19">
            <v>5000000</v>
          </cell>
        </row>
        <row r="20">
          <cell r="H20">
            <v>1700000</v>
          </cell>
          <cell r="I20">
            <v>0</v>
          </cell>
          <cell r="J20">
            <v>0</v>
          </cell>
          <cell r="M20">
            <v>296499</v>
          </cell>
          <cell r="N20">
            <v>19164499</v>
          </cell>
          <cell r="O20">
            <v>14798700</v>
          </cell>
        </row>
        <row r="23">
          <cell r="I23">
            <v>0</v>
          </cell>
          <cell r="L23">
            <v>-200000</v>
          </cell>
          <cell r="M23">
            <v>113929</v>
          </cell>
          <cell r="N23">
            <v>7363929</v>
          </cell>
          <cell r="O23">
            <v>12316230</v>
          </cell>
        </row>
        <row r="24">
          <cell r="H24">
            <v>0</v>
          </cell>
          <cell r="I24">
            <v>0</v>
          </cell>
          <cell r="J24">
            <v>0</v>
          </cell>
          <cell r="M24">
            <v>250154</v>
          </cell>
          <cell r="N24">
            <v>16168938</v>
          </cell>
          <cell r="O24">
            <v>12316230</v>
          </cell>
        </row>
        <row r="26">
          <cell r="I26">
            <v>0</v>
          </cell>
          <cell r="M26">
            <v>45729</v>
          </cell>
          <cell r="N26">
            <v>2955729</v>
          </cell>
          <cell r="O26">
            <v>0</v>
          </cell>
        </row>
        <row r="27">
          <cell r="I27">
            <v>0</v>
          </cell>
          <cell r="N27">
            <v>0</v>
          </cell>
          <cell r="O27">
            <v>5910475</v>
          </cell>
        </row>
        <row r="28">
          <cell r="I28">
            <v>0</v>
          </cell>
          <cell r="M28">
            <v>53320</v>
          </cell>
          <cell r="N28">
            <v>3446416</v>
          </cell>
          <cell r="O28">
            <v>3456000</v>
          </cell>
        </row>
        <row r="29">
          <cell r="I29">
            <v>0</v>
          </cell>
          <cell r="N29">
            <v>0</v>
          </cell>
        </row>
        <row r="30">
          <cell r="I30">
            <v>0</v>
          </cell>
          <cell r="M30">
            <v>13001</v>
          </cell>
          <cell r="N30">
            <v>840313</v>
          </cell>
          <cell r="O30">
            <v>0</v>
          </cell>
        </row>
        <row r="31">
          <cell r="H31">
            <v>2000000</v>
          </cell>
          <cell r="I31">
            <v>400000</v>
          </cell>
          <cell r="M31">
            <v>69143</v>
          </cell>
          <cell r="N31">
            <v>4469143</v>
          </cell>
          <cell r="O31">
            <v>0</v>
          </cell>
        </row>
        <row r="32">
          <cell r="H32">
            <v>1000000</v>
          </cell>
          <cell r="I32">
            <v>0</v>
          </cell>
          <cell r="J32">
            <v>0</v>
          </cell>
          <cell r="M32">
            <v>15714</v>
          </cell>
          <cell r="N32">
            <v>1015714</v>
          </cell>
          <cell r="O32">
            <v>0</v>
          </cell>
        </row>
        <row r="33">
          <cell r="H33">
            <v>3000000</v>
          </cell>
          <cell r="I33">
            <v>400000</v>
          </cell>
          <cell r="J33">
            <v>0</v>
          </cell>
          <cell r="M33">
            <v>196907</v>
          </cell>
          <cell r="N33">
            <v>12727315</v>
          </cell>
          <cell r="O33">
            <v>9366475</v>
          </cell>
        </row>
        <row r="34">
          <cell r="I34">
            <v>0</v>
          </cell>
          <cell r="M34">
            <v>53476</v>
          </cell>
          <cell r="N34">
            <v>3456476</v>
          </cell>
          <cell r="O34">
            <v>3300000</v>
          </cell>
        </row>
        <row r="35">
          <cell r="I35">
            <v>0</v>
          </cell>
          <cell r="J35">
            <v>0</v>
          </cell>
          <cell r="N35">
            <v>200000</v>
          </cell>
          <cell r="O35">
            <v>200000</v>
          </cell>
        </row>
        <row r="36">
          <cell r="H36">
            <v>3000000</v>
          </cell>
          <cell r="I36">
            <v>400000</v>
          </cell>
          <cell r="J36">
            <v>0</v>
          </cell>
          <cell r="M36">
            <v>500537</v>
          </cell>
          <cell r="N36">
            <v>32552729</v>
          </cell>
          <cell r="O36">
            <v>25182705</v>
          </cell>
        </row>
        <row r="38">
          <cell r="I38">
            <v>0</v>
          </cell>
          <cell r="N38">
            <v>0</v>
          </cell>
          <cell r="O38">
            <v>0</v>
          </cell>
        </row>
        <row r="39">
          <cell r="I39">
            <v>0</v>
          </cell>
          <cell r="M39">
            <v>3929</v>
          </cell>
          <cell r="N39">
            <v>253929</v>
          </cell>
          <cell r="O39">
            <v>90000</v>
          </cell>
        </row>
        <row r="41">
          <cell r="I41">
            <v>0</v>
          </cell>
          <cell r="M41">
            <v>3944</v>
          </cell>
          <cell r="N41">
            <v>254944</v>
          </cell>
          <cell r="O41">
            <v>202500</v>
          </cell>
        </row>
        <row r="42">
          <cell r="I42">
            <v>0</v>
          </cell>
          <cell r="J42">
            <v>0</v>
          </cell>
          <cell r="N42">
            <v>30000</v>
          </cell>
          <cell r="O42">
            <v>32500</v>
          </cell>
        </row>
        <row r="43">
          <cell r="I43">
            <v>0</v>
          </cell>
          <cell r="M43">
            <v>3929</v>
          </cell>
          <cell r="N43">
            <v>253929</v>
          </cell>
          <cell r="O43">
            <v>202000</v>
          </cell>
        </row>
        <row r="44">
          <cell r="I44">
            <v>0</v>
          </cell>
          <cell r="N44">
            <v>0</v>
          </cell>
          <cell r="O44">
            <v>0</v>
          </cell>
        </row>
        <row r="45">
          <cell r="L45">
            <v>200000</v>
          </cell>
          <cell r="N45">
            <v>200000</v>
          </cell>
          <cell r="O45">
            <v>200000</v>
          </cell>
        </row>
        <row r="46">
          <cell r="I46">
            <v>0</v>
          </cell>
          <cell r="J46">
            <v>213000</v>
          </cell>
          <cell r="K46">
            <v>26008</v>
          </cell>
          <cell r="M46">
            <v>80992</v>
          </cell>
          <cell r="N46">
            <v>320000</v>
          </cell>
          <cell r="O46">
            <v>0</v>
          </cell>
        </row>
        <row r="47">
          <cell r="H47">
            <v>0</v>
          </cell>
          <cell r="I47">
            <v>0</v>
          </cell>
          <cell r="J47">
            <v>213000</v>
          </cell>
          <cell r="K47">
            <v>26008</v>
          </cell>
          <cell r="L47">
            <v>200000</v>
          </cell>
          <cell r="M47">
            <v>92794</v>
          </cell>
          <cell r="N47">
            <v>1312802</v>
          </cell>
          <cell r="O47">
            <v>727000</v>
          </cell>
        </row>
        <row r="49">
          <cell r="I49">
            <v>0</v>
          </cell>
          <cell r="J49">
            <v>-213000</v>
          </cell>
          <cell r="N49">
            <v>403000</v>
          </cell>
          <cell r="O49">
            <v>242000</v>
          </cell>
        </row>
        <row r="50">
          <cell r="I50">
            <v>0</v>
          </cell>
          <cell r="J50">
            <v>0</v>
          </cell>
          <cell r="N50">
            <v>120000</v>
          </cell>
          <cell r="O50">
            <v>120000</v>
          </cell>
        </row>
        <row r="51">
          <cell r="I51">
            <v>0</v>
          </cell>
          <cell r="J51">
            <v>0</v>
          </cell>
          <cell r="N51">
            <v>200000</v>
          </cell>
          <cell r="O51">
            <v>150000</v>
          </cell>
        </row>
        <row r="52">
          <cell r="I52">
            <v>0</v>
          </cell>
          <cell r="N52">
            <v>0</v>
          </cell>
          <cell r="O52">
            <v>0</v>
          </cell>
        </row>
        <row r="53">
          <cell r="I53">
            <v>0</v>
          </cell>
          <cell r="N53">
            <v>0</v>
          </cell>
          <cell r="O53">
            <v>0</v>
          </cell>
        </row>
        <row r="54">
          <cell r="I54">
            <v>0</v>
          </cell>
          <cell r="N54">
            <v>0</v>
          </cell>
          <cell r="O54">
            <v>0</v>
          </cell>
        </row>
        <row r="55">
          <cell r="I55">
            <v>0</v>
          </cell>
          <cell r="J55">
            <v>0</v>
          </cell>
          <cell r="N55">
            <v>70000</v>
          </cell>
          <cell r="O55">
            <v>54000</v>
          </cell>
        </row>
        <row r="56">
          <cell r="H56">
            <v>0</v>
          </cell>
          <cell r="I56">
            <v>0</v>
          </cell>
          <cell r="J56">
            <v>-213000</v>
          </cell>
          <cell r="N56">
            <v>793000</v>
          </cell>
          <cell r="O56">
            <v>566000</v>
          </cell>
        </row>
        <row r="58">
          <cell r="H58">
            <v>1000000</v>
          </cell>
          <cell r="I58">
            <v>0</v>
          </cell>
          <cell r="J58">
            <v>0</v>
          </cell>
          <cell r="K58">
            <v>1000000</v>
          </cell>
          <cell r="M58">
            <v>32607</v>
          </cell>
          <cell r="N58">
            <v>2107607</v>
          </cell>
          <cell r="O58">
            <v>1000000</v>
          </cell>
        </row>
        <row r="59">
          <cell r="M59">
            <v>6286</v>
          </cell>
          <cell r="N59">
            <v>406286</v>
          </cell>
          <cell r="O59">
            <v>400000</v>
          </cell>
        </row>
        <row r="61">
          <cell r="I61">
            <v>0</v>
          </cell>
          <cell r="M61">
            <v>6286</v>
          </cell>
          <cell r="N61">
            <v>406286</v>
          </cell>
          <cell r="O61">
            <v>407000</v>
          </cell>
        </row>
        <row r="62">
          <cell r="I62">
            <v>0</v>
          </cell>
          <cell r="J62">
            <v>0</v>
          </cell>
          <cell r="M62">
            <v>13420</v>
          </cell>
          <cell r="N62">
            <v>867420</v>
          </cell>
          <cell r="O62">
            <v>650000</v>
          </cell>
        </row>
        <row r="63">
          <cell r="I63">
            <v>0</v>
          </cell>
          <cell r="M63">
            <v>1571</v>
          </cell>
          <cell r="N63">
            <v>101571</v>
          </cell>
          <cell r="O63">
            <v>0</v>
          </cell>
        </row>
        <row r="64">
          <cell r="H64">
            <v>1000000</v>
          </cell>
          <cell r="I64">
            <v>0</v>
          </cell>
          <cell r="J64">
            <v>0</v>
          </cell>
          <cell r="M64">
            <v>60170</v>
          </cell>
          <cell r="N64">
            <v>3889170</v>
          </cell>
          <cell r="O64">
            <v>2457000</v>
          </cell>
        </row>
        <row r="66">
          <cell r="I66">
            <v>-400000</v>
          </cell>
          <cell r="J66">
            <v>0</v>
          </cell>
          <cell r="N66">
            <v>0</v>
          </cell>
          <cell r="O66">
            <v>0</v>
          </cell>
        </row>
        <row r="67">
          <cell r="I67">
            <v>0</v>
          </cell>
          <cell r="J67">
            <v>0</v>
          </cell>
          <cell r="N67">
            <v>1044000</v>
          </cell>
          <cell r="O67">
            <v>315000</v>
          </cell>
        </row>
        <row r="68">
          <cell r="H68">
            <v>0</v>
          </cell>
          <cell r="I68">
            <v>-400000</v>
          </cell>
          <cell r="J68">
            <v>0</v>
          </cell>
          <cell r="N68">
            <v>1044000</v>
          </cell>
          <cell r="O68">
            <v>315000</v>
          </cell>
        </row>
        <row r="70">
          <cell r="I70">
            <v>0</v>
          </cell>
          <cell r="J70">
            <v>0</v>
          </cell>
          <cell r="N70">
            <v>646000</v>
          </cell>
          <cell r="O70">
            <v>585500</v>
          </cell>
        </row>
        <row r="72">
          <cell r="I72">
            <v>0</v>
          </cell>
          <cell r="J72">
            <v>0</v>
          </cell>
          <cell r="N72">
            <v>2276500</v>
          </cell>
          <cell r="O72">
            <v>900000</v>
          </cell>
        </row>
        <row r="74">
          <cell r="I74">
            <v>0</v>
          </cell>
          <cell r="J74">
            <v>0</v>
          </cell>
          <cell r="N74">
            <v>1925000</v>
          </cell>
          <cell r="O74">
            <v>1130000</v>
          </cell>
        </row>
        <row r="75">
          <cell r="I75">
            <v>0</v>
          </cell>
          <cell r="J75">
            <v>0</v>
          </cell>
          <cell r="N75">
            <v>300000</v>
          </cell>
          <cell r="O75">
            <v>250000</v>
          </cell>
        </row>
        <row r="76">
          <cell r="I76">
            <v>0</v>
          </cell>
          <cell r="J76">
            <v>0</v>
          </cell>
          <cell r="N76">
            <v>90000</v>
          </cell>
          <cell r="O76">
            <v>0</v>
          </cell>
        </row>
        <row r="77">
          <cell r="I77">
            <v>0</v>
          </cell>
          <cell r="J77">
            <v>0</v>
          </cell>
          <cell r="N77">
            <v>0</v>
          </cell>
          <cell r="O77">
            <v>0</v>
          </cell>
        </row>
        <row r="78">
          <cell r="I78">
            <v>0</v>
          </cell>
          <cell r="J78">
            <v>0</v>
          </cell>
          <cell r="N78">
            <v>0</v>
          </cell>
          <cell r="O78">
            <v>0</v>
          </cell>
        </row>
        <row r="79">
          <cell r="H79">
            <v>285390</v>
          </cell>
          <cell r="I79">
            <v>0</v>
          </cell>
          <cell r="J79">
            <v>0</v>
          </cell>
          <cell r="K79">
            <v>100000</v>
          </cell>
          <cell r="L79">
            <v>0</v>
          </cell>
          <cell r="M79">
            <v>50000</v>
          </cell>
          <cell r="N79">
            <v>3188000</v>
          </cell>
          <cell r="O79">
            <v>2333095</v>
          </cell>
        </row>
        <row r="80">
          <cell r="H80">
            <v>285390</v>
          </cell>
          <cell r="I80">
            <v>0</v>
          </cell>
          <cell r="M80">
            <v>50000</v>
          </cell>
          <cell r="N80">
            <v>8425500</v>
          </cell>
          <cell r="O80">
            <v>5198595</v>
          </cell>
        </row>
        <row r="82">
          <cell r="H82">
            <v>1700000</v>
          </cell>
          <cell r="I82">
            <v>0</v>
          </cell>
          <cell r="J82">
            <v>170400</v>
          </cell>
          <cell r="N82">
            <v>20693300.399999999</v>
          </cell>
        </row>
        <row r="83">
          <cell r="H83">
            <v>4000000</v>
          </cell>
          <cell r="I83">
            <v>400000</v>
          </cell>
          <cell r="J83">
            <v>42600</v>
          </cell>
          <cell r="N83">
            <v>36615899.599999994</v>
          </cell>
        </row>
        <row r="84">
          <cell r="H84">
            <v>285390</v>
          </cell>
          <cell r="I84">
            <v>-400000</v>
          </cell>
          <cell r="J84">
            <v>-213000</v>
          </cell>
          <cell r="N84">
            <v>9872500</v>
          </cell>
        </row>
        <row r="85">
          <cell r="H85">
            <v>5985390</v>
          </cell>
          <cell r="I85">
            <v>0</v>
          </cell>
          <cell r="J85">
            <v>0</v>
          </cell>
          <cell r="N85">
            <v>67181700</v>
          </cell>
        </row>
        <row r="86">
          <cell r="N86">
            <v>0</v>
          </cell>
        </row>
        <row r="87">
          <cell r="N87">
            <v>5600000</v>
          </cell>
        </row>
        <row r="88">
          <cell r="N88">
            <v>0</v>
          </cell>
        </row>
        <row r="89">
          <cell r="H89">
            <v>5985390</v>
          </cell>
          <cell r="I89">
            <v>0</v>
          </cell>
          <cell r="J89">
            <v>0</v>
          </cell>
          <cell r="N89">
            <v>72781700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09 Comb Revenues A2"/>
      <sheetName val="CLM Programs"/>
      <sheetName val="Input Assumptions"/>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L-17-1 Page 1 of 2"/>
      <sheetName val="Attachment EL-17-1 Page 2 of 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CLP and UI Table A1 "/>
      <sheetName val="2005 CLP and UI Table A1 Pies"/>
      <sheetName val="2005 CLP Table A "/>
      <sheetName val="2005 CL&amp;P Table A Pie Charts"/>
      <sheetName val="2005 CLP Table B - Comparison"/>
      <sheetName val="2005 CLP Table C - Details "/>
      <sheetName val="2005 CLP Table C Pie Chart "/>
      <sheetName val="2005 CLP Table D - Marketing"/>
      <sheetName val="2005 UI Table A "/>
      <sheetName val="2005 UI Table A Pie Charts "/>
      <sheetName val="2005 UI Table B - Comparison "/>
      <sheetName val="2005 UI Table C - Details"/>
      <sheetName val="2005 UI Table C Pie Chart"/>
      <sheetName val="2005 UI Table D - Marketing"/>
      <sheetName val="2005 UI Table E - SWCT"/>
    </sheetNames>
    <sheetDataSet>
      <sheetData sheetId="0">
        <row r="9">
          <cell r="B9">
            <v>3522000</v>
          </cell>
          <cell r="C9">
            <v>906428</v>
          </cell>
        </row>
        <row r="10">
          <cell r="B10">
            <v>850000</v>
          </cell>
          <cell r="C10">
            <v>405480</v>
          </cell>
        </row>
        <row r="11">
          <cell r="B11">
            <v>2500000</v>
          </cell>
          <cell r="C11">
            <v>1181250</v>
          </cell>
        </row>
        <row r="12">
          <cell r="B12">
            <v>500000</v>
          </cell>
          <cell r="C12">
            <v>50000</v>
          </cell>
        </row>
        <row r="13">
          <cell r="B13">
            <v>7372000</v>
          </cell>
          <cell r="C13">
            <v>2543158</v>
          </cell>
        </row>
        <row r="14">
          <cell r="B14">
            <v>1300000</v>
          </cell>
          <cell r="C14">
            <v>541432</v>
          </cell>
        </row>
        <row r="15">
          <cell r="B15">
            <v>2922000</v>
          </cell>
          <cell r="C15">
            <v>950000</v>
          </cell>
        </row>
        <row r="16">
          <cell r="B16">
            <v>5000000</v>
          </cell>
          <cell r="C16">
            <v>1073149</v>
          </cell>
        </row>
        <row r="17">
          <cell r="B17">
            <v>16594000</v>
          </cell>
          <cell r="C17">
            <v>5107739</v>
          </cell>
        </row>
        <row r="20">
          <cell r="B20">
            <v>7450000</v>
          </cell>
          <cell r="C20">
            <v>3718673</v>
          </cell>
        </row>
        <row r="21">
          <cell r="B21">
            <v>8056096</v>
          </cell>
          <cell r="C21">
            <v>0</v>
          </cell>
        </row>
        <row r="22">
          <cell r="B22">
            <v>312688</v>
          </cell>
          <cell r="C22">
            <v>0</v>
          </cell>
        </row>
        <row r="23">
          <cell r="B23">
            <v>15818784</v>
          </cell>
          <cell r="C23">
            <v>3718673</v>
          </cell>
        </row>
        <row r="25">
          <cell r="B25">
            <v>2910000</v>
          </cell>
          <cell r="C25">
            <v>422128</v>
          </cell>
        </row>
        <row r="26">
          <cell r="B26">
            <v>0</v>
          </cell>
          <cell r="C26">
            <v>2800000</v>
          </cell>
        </row>
        <row r="27">
          <cell r="B27">
            <v>3393096</v>
          </cell>
          <cell r="C27">
            <v>181706</v>
          </cell>
        </row>
        <row r="28">
          <cell r="B28">
            <v>827312</v>
          </cell>
          <cell r="C28">
            <v>0</v>
          </cell>
        </row>
        <row r="29">
          <cell r="B29">
            <v>2000000</v>
          </cell>
          <cell r="C29">
            <v>411000</v>
          </cell>
        </row>
        <row r="30">
          <cell r="B30">
            <v>0</v>
          </cell>
          <cell r="C30">
            <v>0</v>
          </cell>
        </row>
        <row r="31">
          <cell r="B31">
            <v>9130408</v>
          </cell>
          <cell r="C31">
            <v>3814834</v>
          </cell>
        </row>
        <row r="32">
          <cell r="B32">
            <v>3403000</v>
          </cell>
          <cell r="C32">
            <v>1200000</v>
          </cell>
        </row>
        <row r="33">
          <cell r="B33">
            <v>200000</v>
          </cell>
          <cell r="C33">
            <v>50000</v>
          </cell>
        </row>
        <row r="34">
          <cell r="B34">
            <v>28552192</v>
          </cell>
          <cell r="C34">
            <v>8783507</v>
          </cell>
        </row>
        <row r="36">
          <cell r="B36">
            <v>250000</v>
          </cell>
          <cell r="C36">
            <v>428085</v>
          </cell>
        </row>
        <row r="37">
          <cell r="B37">
            <v>251000</v>
          </cell>
          <cell r="C37">
            <v>319466</v>
          </cell>
        </row>
        <row r="38">
          <cell r="B38">
            <v>30000</v>
          </cell>
          <cell r="C38">
            <v>0</v>
          </cell>
        </row>
        <row r="39">
          <cell r="B39">
            <v>250000</v>
          </cell>
          <cell r="C39">
            <v>95641</v>
          </cell>
        </row>
        <row r="40">
          <cell r="B40">
            <v>781000</v>
          </cell>
          <cell r="C40">
            <v>843192</v>
          </cell>
        </row>
        <row r="42">
          <cell r="B42">
            <v>616000</v>
          </cell>
          <cell r="C42">
            <v>150000</v>
          </cell>
        </row>
        <row r="43">
          <cell r="B43">
            <v>120000</v>
          </cell>
          <cell r="C43">
            <v>89250</v>
          </cell>
        </row>
        <row r="44">
          <cell r="B44">
            <v>200000</v>
          </cell>
          <cell r="C44">
            <v>0</v>
          </cell>
        </row>
        <row r="45">
          <cell r="B45">
            <v>70000</v>
          </cell>
          <cell r="C45">
            <v>5000</v>
          </cell>
        </row>
        <row r="46">
          <cell r="B46">
            <v>1006000</v>
          </cell>
          <cell r="C46">
            <v>244250</v>
          </cell>
        </row>
        <row r="48">
          <cell r="B48">
            <v>75000</v>
          </cell>
          <cell r="C48">
            <v>50000</v>
          </cell>
        </row>
        <row r="49">
          <cell r="B49">
            <v>400000</v>
          </cell>
          <cell r="C49">
            <v>113119</v>
          </cell>
        </row>
        <row r="50">
          <cell r="B50">
            <v>400000</v>
          </cell>
          <cell r="C50">
            <v>0</v>
          </cell>
        </row>
        <row r="51">
          <cell r="B51">
            <v>854000</v>
          </cell>
          <cell r="C51">
            <v>0</v>
          </cell>
        </row>
        <row r="52">
          <cell r="B52">
            <v>100000</v>
          </cell>
          <cell r="C52">
            <v>100000</v>
          </cell>
        </row>
        <row r="53">
          <cell r="B53">
            <v>1829000</v>
          </cell>
          <cell r="C53">
            <v>263119</v>
          </cell>
        </row>
        <row r="55">
          <cell r="B55">
            <v>400000</v>
          </cell>
          <cell r="C55">
            <v>150000</v>
          </cell>
        </row>
        <row r="56">
          <cell r="B56">
            <v>1044000</v>
          </cell>
          <cell r="C56">
            <v>221860</v>
          </cell>
        </row>
        <row r="57">
          <cell r="B57">
            <v>1444000</v>
          </cell>
          <cell r="C57">
            <v>371860</v>
          </cell>
        </row>
        <row r="59">
          <cell r="B59">
            <v>646000</v>
          </cell>
          <cell r="C59">
            <v>353759</v>
          </cell>
        </row>
        <row r="60">
          <cell r="B60">
            <v>2276500</v>
          </cell>
          <cell r="C60">
            <v>743011</v>
          </cell>
        </row>
        <row r="61">
          <cell r="B61">
            <v>1925000</v>
          </cell>
          <cell r="C61">
            <v>398036</v>
          </cell>
        </row>
        <row r="62">
          <cell r="B62">
            <v>300000</v>
          </cell>
          <cell r="C62">
            <v>210000</v>
          </cell>
        </row>
        <row r="63">
          <cell r="B63">
            <v>90000</v>
          </cell>
          <cell r="C63">
            <v>60000</v>
          </cell>
        </row>
        <row r="64">
          <cell r="B64">
            <v>2752610</v>
          </cell>
          <cell r="C64">
            <v>816861</v>
          </cell>
        </row>
        <row r="65">
          <cell r="B65">
            <v>7990110</v>
          </cell>
          <cell r="C65">
            <v>2581667</v>
          </cell>
        </row>
      </sheetData>
      <sheetData sheetId="1"/>
      <sheetData sheetId="2"/>
      <sheetData sheetId="3"/>
      <sheetData sheetId="4">
        <row r="9">
          <cell r="C9">
            <v>3300</v>
          </cell>
          <cell r="N9">
            <v>42896.887913428043</v>
          </cell>
          <cell r="O9">
            <v>293203.01819186244</v>
          </cell>
          <cell r="P9">
            <v>3378.2566851447828</v>
          </cell>
        </row>
        <row r="10">
          <cell r="C10">
            <v>900</v>
          </cell>
          <cell r="N10">
            <v>2761.771545278028</v>
          </cell>
          <cell r="O10">
            <v>38601.798161161081</v>
          </cell>
          <cell r="P10">
            <v>365.45121193832216</v>
          </cell>
        </row>
        <row r="11">
          <cell r="C11">
            <v>3500</v>
          </cell>
          <cell r="N11">
            <v>9685.4243951063581</v>
          </cell>
          <cell r="O11">
            <v>48858.276577883735</v>
          </cell>
          <cell r="P11">
            <v>1644.7637111121423</v>
          </cell>
        </row>
        <row r="12">
          <cell r="C12">
            <v>600</v>
          </cell>
          <cell r="N12" t="str">
            <v xml:space="preserve"> </v>
          </cell>
          <cell r="O12" t="str">
            <v xml:space="preserve"> </v>
          </cell>
          <cell r="P12" t="str">
            <v xml:space="preserve"> </v>
          </cell>
        </row>
        <row r="13">
          <cell r="C13">
            <v>8300</v>
          </cell>
          <cell r="N13">
            <v>55344.083853812423</v>
          </cell>
          <cell r="O13">
            <v>380663.09293090727</v>
          </cell>
          <cell r="P13">
            <v>5388.4716081952474</v>
          </cell>
        </row>
        <row r="14">
          <cell r="C14">
            <v>900</v>
          </cell>
          <cell r="N14">
            <v>1355.3086739435969</v>
          </cell>
          <cell r="O14">
            <v>17706.886327358468</v>
          </cell>
          <cell r="P14">
            <v>676.14191182280354</v>
          </cell>
        </row>
        <row r="15">
          <cell r="C15">
            <v>1500</v>
          </cell>
          <cell r="N15">
            <v>2797.6386554621849</v>
          </cell>
          <cell r="O15">
            <v>44335.134453781524</v>
          </cell>
          <cell r="P15">
            <v>4578.8630730242166</v>
          </cell>
        </row>
        <row r="16">
          <cell r="C16">
            <v>4250</v>
          </cell>
          <cell r="N16">
            <v>9025.2607275398404</v>
          </cell>
          <cell r="O16">
            <v>95925.473016636955</v>
          </cell>
          <cell r="P16">
            <v>703.09672412305702</v>
          </cell>
        </row>
        <row r="17">
          <cell r="C17">
            <v>14950</v>
          </cell>
          <cell r="N17">
            <v>68522.291910758038</v>
          </cell>
          <cell r="O17">
            <v>538630.58672868425</v>
          </cell>
          <cell r="P17">
            <v>11346.573317165325</v>
          </cell>
        </row>
        <row r="20">
          <cell r="C20">
            <v>6250</v>
          </cell>
          <cell r="N20">
            <v>31128.418451539466</v>
          </cell>
          <cell r="O20">
            <v>573896.43911519216</v>
          </cell>
          <cell r="P20">
            <v>8926.8576563117003</v>
          </cell>
        </row>
        <row r="21">
          <cell r="C21">
            <v>7600</v>
          </cell>
          <cell r="N21">
            <v>28245.179715398386</v>
          </cell>
          <cell r="O21">
            <v>422277.86286623625</v>
          </cell>
          <cell r="P21">
            <v>5405.8256192969584</v>
          </cell>
        </row>
        <row r="22">
          <cell r="C22">
            <v>1100</v>
          </cell>
          <cell r="N22">
            <v>508.98729721036131</v>
          </cell>
          <cell r="O22">
            <v>7213.8909290663078</v>
          </cell>
          <cell r="P22">
            <v>268.61886958140468</v>
          </cell>
        </row>
        <row r="23">
          <cell r="C23">
            <v>14950</v>
          </cell>
          <cell r="N23">
            <v>59882.585464148215</v>
          </cell>
          <cell r="O23">
            <v>1003388.1929104947</v>
          </cell>
          <cell r="P23">
            <v>14601.302145190064</v>
          </cell>
        </row>
        <row r="25">
          <cell r="C25">
            <v>4500</v>
          </cell>
          <cell r="N25">
            <v>11975.505255315886</v>
          </cell>
          <cell r="O25">
            <v>202440.6328593572</v>
          </cell>
          <cell r="P25">
            <v>1973.450920600606</v>
          </cell>
        </row>
        <row r="26">
          <cell r="C26">
            <v>1500</v>
          </cell>
          <cell r="N26">
            <v>11358.3077489153</v>
          </cell>
          <cell r="O26">
            <v>106350.4609655578</v>
          </cell>
          <cell r="P26">
            <v>1714.3943019731428</v>
          </cell>
        </row>
        <row r="27">
          <cell r="N27">
            <v>8463.8345779447081</v>
          </cell>
          <cell r="O27">
            <v>105093.48339609063</v>
          </cell>
          <cell r="P27">
            <v>1618.8171359190237</v>
          </cell>
        </row>
        <row r="28">
          <cell r="C28">
            <v>4000</v>
          </cell>
          <cell r="N28">
            <v>6746.5107955114354</v>
          </cell>
          <cell r="O28">
            <v>107733.88066887164</v>
          </cell>
          <cell r="P28">
            <v>659.04712378849888</v>
          </cell>
        </row>
        <row r="29">
          <cell r="C29">
            <v>0</v>
          </cell>
          <cell r="N29" t="str">
            <v xml:space="preserve"> </v>
          </cell>
        </row>
        <row r="30">
          <cell r="C30">
            <v>10000</v>
          </cell>
          <cell r="N30">
            <v>38544.15837768733</v>
          </cell>
          <cell r="O30">
            <v>521618.45788987726</v>
          </cell>
          <cell r="P30">
            <v>5965.7094822812714</v>
          </cell>
        </row>
        <row r="31">
          <cell r="C31">
            <v>3000</v>
          </cell>
          <cell r="N31">
            <v>12231.523453273725</v>
          </cell>
          <cell r="O31">
            <v>199629.3359096791</v>
          </cell>
          <cell r="P31">
            <v>2339.7266393431828</v>
          </cell>
        </row>
        <row r="33">
          <cell r="C33">
            <v>27950</v>
          </cell>
          <cell r="N33">
            <v>110658.26729510927</v>
          </cell>
          <cell r="O33">
            <v>1724635.9867100511</v>
          </cell>
          <cell r="P33">
            <v>22906.738266814518</v>
          </cell>
        </row>
        <row r="35">
          <cell r="C35">
            <v>53</v>
          </cell>
        </row>
        <row r="36">
          <cell r="C36">
            <v>210</v>
          </cell>
        </row>
        <row r="37">
          <cell r="C37">
            <v>35</v>
          </cell>
        </row>
        <row r="38">
          <cell r="C38">
            <v>250</v>
          </cell>
        </row>
        <row r="39">
          <cell r="C39">
            <v>300</v>
          </cell>
        </row>
        <row r="40">
          <cell r="C40">
            <v>848</v>
          </cell>
        </row>
        <row r="42">
          <cell r="C42">
            <v>716</v>
          </cell>
        </row>
        <row r="43">
          <cell r="C43">
            <v>120</v>
          </cell>
          <cell r="N43">
            <v>39.962187836570877</v>
          </cell>
          <cell r="O43">
            <v>727.3120045870495</v>
          </cell>
          <cell r="P43">
            <v>0.2514750208239635</v>
          </cell>
        </row>
        <row r="44">
          <cell r="C44">
            <v>250</v>
          </cell>
        </row>
        <row r="45">
          <cell r="C45">
            <v>150</v>
          </cell>
        </row>
        <row r="46">
          <cell r="C46">
            <v>316</v>
          </cell>
        </row>
        <row r="47">
          <cell r="C47">
            <v>1552</v>
          </cell>
          <cell r="N47">
            <v>39.962187836570877</v>
          </cell>
          <cell r="O47">
            <v>727.3120045870495</v>
          </cell>
          <cell r="P47">
            <v>0.2514750208239635</v>
          </cell>
        </row>
        <row r="50">
          <cell r="C50">
            <v>350</v>
          </cell>
          <cell r="N50">
            <v>0</v>
          </cell>
          <cell r="O50">
            <v>0</v>
          </cell>
          <cell r="P50">
            <v>10000</v>
          </cell>
        </row>
        <row r="51">
          <cell r="C51">
            <v>100</v>
          </cell>
          <cell r="N51">
            <v>2068.9641034482761</v>
          </cell>
          <cell r="O51">
            <v>20689.64103448276</v>
          </cell>
          <cell r="P51">
            <v>606</v>
          </cell>
        </row>
        <row r="52">
          <cell r="C52">
            <v>350</v>
          </cell>
          <cell r="N52">
            <v>0</v>
          </cell>
          <cell r="O52">
            <v>0</v>
          </cell>
          <cell r="P52">
            <v>5000</v>
          </cell>
        </row>
        <row r="53">
          <cell r="C53">
            <v>209</v>
          </cell>
        </row>
        <row r="54">
          <cell r="C54">
            <v>1009</v>
          </cell>
          <cell r="N54">
            <v>2068.9641034482761</v>
          </cell>
          <cell r="O54">
            <v>20689.64103448276</v>
          </cell>
          <cell r="P54">
            <v>15606</v>
          </cell>
        </row>
        <row r="56">
          <cell r="C56">
            <v>50</v>
          </cell>
        </row>
        <row r="57">
          <cell r="C57">
            <v>1200</v>
          </cell>
        </row>
        <row r="58">
          <cell r="C58">
            <v>1250</v>
          </cell>
        </row>
        <row r="60">
          <cell r="C60">
            <v>620</v>
          </cell>
        </row>
        <row r="61">
          <cell r="C61">
            <v>1000</v>
          </cell>
        </row>
        <row r="62">
          <cell r="C62">
            <v>1033</v>
          </cell>
        </row>
        <row r="63">
          <cell r="C63">
            <v>299</v>
          </cell>
        </row>
        <row r="64">
          <cell r="C64">
            <v>90</v>
          </cell>
        </row>
        <row r="65">
          <cell r="C65">
            <v>2383</v>
          </cell>
        </row>
        <row r="66">
          <cell r="C66">
            <v>5425</v>
          </cell>
        </row>
        <row r="68">
          <cell r="O68">
            <v>539357.89873327129</v>
          </cell>
        </row>
        <row r="69">
          <cell r="O69">
            <v>1745325.6277445336</v>
          </cell>
        </row>
        <row r="70">
          <cell r="O70">
            <v>0</v>
          </cell>
        </row>
        <row r="71">
          <cell r="O71">
            <v>2284683.5264778049</v>
          </cell>
        </row>
      </sheetData>
      <sheetData sheetId="5">
        <row r="6">
          <cell r="B6">
            <v>74</v>
          </cell>
          <cell r="C6">
            <v>10</v>
          </cell>
          <cell r="D6">
            <v>501</v>
          </cell>
          <cell r="E6">
            <v>42</v>
          </cell>
          <cell r="F6">
            <v>2487</v>
          </cell>
          <cell r="G6">
            <v>393</v>
          </cell>
          <cell r="H6">
            <v>10</v>
          </cell>
          <cell r="I6">
            <v>5</v>
          </cell>
        </row>
        <row r="7">
          <cell r="B7">
            <v>42</v>
          </cell>
          <cell r="C7">
            <v>0</v>
          </cell>
          <cell r="D7">
            <v>163</v>
          </cell>
          <cell r="E7">
            <v>0</v>
          </cell>
          <cell r="F7">
            <v>490</v>
          </cell>
          <cell r="G7">
            <v>135</v>
          </cell>
          <cell r="H7">
            <v>10</v>
          </cell>
          <cell r="I7">
            <v>10</v>
          </cell>
        </row>
        <row r="8">
          <cell r="B8">
            <v>137</v>
          </cell>
          <cell r="C8">
            <v>0</v>
          </cell>
          <cell r="D8">
            <v>1198</v>
          </cell>
          <cell r="E8">
            <v>42</v>
          </cell>
          <cell r="F8">
            <v>739</v>
          </cell>
          <cell r="G8">
            <v>319</v>
          </cell>
          <cell r="H8">
            <v>0</v>
          </cell>
          <cell r="I8">
            <v>65</v>
          </cell>
        </row>
        <row r="9">
          <cell r="B9">
            <v>21</v>
          </cell>
          <cell r="C9">
            <v>5</v>
          </cell>
          <cell r="D9">
            <v>54</v>
          </cell>
          <cell r="E9">
            <v>11</v>
          </cell>
          <cell r="F9">
            <v>389</v>
          </cell>
          <cell r="G9">
            <v>10</v>
          </cell>
          <cell r="H9">
            <v>5</v>
          </cell>
          <cell r="I9">
            <v>5</v>
          </cell>
        </row>
        <row r="10">
          <cell r="B10">
            <v>274</v>
          </cell>
          <cell r="C10">
            <v>15</v>
          </cell>
          <cell r="D10">
            <v>1916</v>
          </cell>
          <cell r="E10">
            <v>95</v>
          </cell>
          <cell r="F10">
            <v>4105</v>
          </cell>
          <cell r="G10">
            <v>857</v>
          </cell>
          <cell r="H10">
            <v>25</v>
          </cell>
          <cell r="I10">
            <v>85</v>
          </cell>
        </row>
        <row r="11">
          <cell r="B11">
            <v>84</v>
          </cell>
          <cell r="C11">
            <v>0</v>
          </cell>
          <cell r="D11">
            <v>441</v>
          </cell>
          <cell r="E11">
            <v>84</v>
          </cell>
          <cell r="F11">
            <v>631</v>
          </cell>
          <cell r="G11">
            <v>40</v>
          </cell>
          <cell r="H11">
            <v>10</v>
          </cell>
          <cell r="I11">
            <v>10</v>
          </cell>
        </row>
        <row r="12">
          <cell r="B12">
            <v>142</v>
          </cell>
          <cell r="C12">
            <v>80</v>
          </cell>
          <cell r="D12">
            <v>600</v>
          </cell>
          <cell r="E12">
            <v>42</v>
          </cell>
          <cell r="F12">
            <v>1890</v>
          </cell>
          <cell r="G12">
            <v>148</v>
          </cell>
          <cell r="H12">
            <v>10</v>
          </cell>
          <cell r="I12">
            <v>10</v>
          </cell>
        </row>
        <row r="13">
          <cell r="B13">
            <v>672</v>
          </cell>
          <cell r="C13">
            <v>0</v>
          </cell>
          <cell r="D13">
            <v>200</v>
          </cell>
          <cell r="E13">
            <v>272</v>
          </cell>
          <cell r="F13">
            <v>3811</v>
          </cell>
          <cell r="G13">
            <v>25</v>
          </cell>
          <cell r="H13">
            <v>0</v>
          </cell>
          <cell r="I13">
            <v>20</v>
          </cell>
        </row>
        <row r="14">
          <cell r="B14">
            <v>1172</v>
          </cell>
          <cell r="C14">
            <v>95</v>
          </cell>
          <cell r="D14">
            <v>3157</v>
          </cell>
          <cell r="E14">
            <v>493</v>
          </cell>
          <cell r="F14">
            <v>10437</v>
          </cell>
          <cell r="G14">
            <v>1070</v>
          </cell>
          <cell r="H14">
            <v>45</v>
          </cell>
          <cell r="I14">
            <v>125</v>
          </cell>
        </row>
        <row r="17">
          <cell r="B17">
            <v>560</v>
          </cell>
          <cell r="C17">
            <v>10</v>
          </cell>
          <cell r="D17">
            <v>590</v>
          </cell>
          <cell r="E17">
            <v>334</v>
          </cell>
          <cell r="F17">
            <v>5847</v>
          </cell>
          <cell r="G17">
            <v>60</v>
          </cell>
          <cell r="H17">
            <v>25</v>
          </cell>
          <cell r="I17">
            <v>24</v>
          </cell>
        </row>
        <row r="18">
          <cell r="B18">
            <v>551</v>
          </cell>
          <cell r="C18">
            <v>10</v>
          </cell>
          <cell r="D18">
            <v>1616</v>
          </cell>
          <cell r="E18">
            <v>377</v>
          </cell>
          <cell r="F18">
            <v>5317</v>
          </cell>
          <cell r="G18">
            <v>45</v>
          </cell>
          <cell r="H18">
            <v>115</v>
          </cell>
          <cell r="I18">
            <v>25</v>
          </cell>
        </row>
        <row r="19">
          <cell r="B19">
            <v>0</v>
          </cell>
          <cell r="C19">
            <v>0</v>
          </cell>
          <cell r="D19">
            <v>0</v>
          </cell>
          <cell r="E19">
            <v>0</v>
          </cell>
          <cell r="F19">
            <v>0</v>
          </cell>
          <cell r="G19">
            <v>0</v>
          </cell>
          <cell r="H19">
            <v>0</v>
          </cell>
          <cell r="I19">
            <v>0</v>
          </cell>
        </row>
        <row r="20">
          <cell r="B20">
            <v>1111</v>
          </cell>
          <cell r="C20">
            <v>20</v>
          </cell>
          <cell r="D20">
            <v>2206</v>
          </cell>
          <cell r="E20">
            <v>711</v>
          </cell>
          <cell r="F20">
            <v>11164</v>
          </cell>
          <cell r="G20">
            <v>105</v>
          </cell>
          <cell r="H20">
            <v>140</v>
          </cell>
          <cell r="I20">
            <v>49</v>
          </cell>
        </row>
        <row r="22">
          <cell r="B22">
            <v>105</v>
          </cell>
          <cell r="C22">
            <v>0</v>
          </cell>
          <cell r="D22">
            <v>200</v>
          </cell>
          <cell r="E22">
            <v>32</v>
          </cell>
          <cell r="F22">
            <v>2538</v>
          </cell>
          <cell r="G22">
            <v>25</v>
          </cell>
          <cell r="H22">
            <v>5</v>
          </cell>
          <cell r="I22">
            <v>5</v>
          </cell>
        </row>
        <row r="23">
          <cell r="B23">
            <v>219</v>
          </cell>
          <cell r="C23">
            <v>30</v>
          </cell>
          <cell r="D23">
            <v>1244</v>
          </cell>
          <cell r="E23">
            <v>195</v>
          </cell>
          <cell r="F23">
            <v>1622</v>
          </cell>
          <cell r="G23">
            <v>20</v>
          </cell>
          <cell r="H23">
            <v>25</v>
          </cell>
          <cell r="I23">
            <v>38</v>
          </cell>
        </row>
        <row r="24">
          <cell r="B24">
            <v>125</v>
          </cell>
          <cell r="C24">
            <v>5</v>
          </cell>
          <cell r="D24">
            <v>195</v>
          </cell>
          <cell r="E24">
            <v>0</v>
          </cell>
          <cell r="F24">
            <v>795</v>
          </cell>
          <cell r="G24">
            <v>10</v>
          </cell>
          <cell r="H24">
            <v>5</v>
          </cell>
          <cell r="I24">
            <v>5</v>
          </cell>
        </row>
        <row r="25">
          <cell r="B25">
            <v>165</v>
          </cell>
          <cell r="C25">
            <v>0</v>
          </cell>
          <cell r="D25">
            <v>38</v>
          </cell>
          <cell r="E25">
            <v>80</v>
          </cell>
          <cell r="F25">
            <v>1697</v>
          </cell>
          <cell r="G25">
            <v>5</v>
          </cell>
          <cell r="H25">
            <v>10</v>
          </cell>
          <cell r="I25">
            <v>5</v>
          </cell>
        </row>
        <row r="26">
          <cell r="B26">
            <v>0</v>
          </cell>
          <cell r="C26">
            <v>0</v>
          </cell>
          <cell r="D26">
            <v>0</v>
          </cell>
          <cell r="E26">
            <v>0</v>
          </cell>
          <cell r="F26">
            <v>0</v>
          </cell>
          <cell r="G26">
            <v>0</v>
          </cell>
          <cell r="H26">
            <v>0</v>
          </cell>
          <cell r="I26">
            <v>0</v>
          </cell>
        </row>
        <row r="27">
          <cell r="B27">
            <v>614</v>
          </cell>
          <cell r="C27">
            <v>35</v>
          </cell>
          <cell r="D27">
            <v>1677</v>
          </cell>
          <cell r="E27">
            <v>307</v>
          </cell>
          <cell r="F27">
            <v>6652</v>
          </cell>
          <cell r="G27">
            <v>60</v>
          </cell>
          <cell r="H27">
            <v>45</v>
          </cell>
          <cell r="I27">
            <v>53</v>
          </cell>
        </row>
        <row r="28">
          <cell r="B28">
            <v>429</v>
          </cell>
          <cell r="C28">
            <v>5</v>
          </cell>
          <cell r="D28">
            <v>240</v>
          </cell>
          <cell r="E28">
            <v>152</v>
          </cell>
          <cell r="F28">
            <v>2511</v>
          </cell>
          <cell r="G28">
            <v>40</v>
          </cell>
          <cell r="H28">
            <v>10</v>
          </cell>
          <cell r="I28">
            <v>16</v>
          </cell>
        </row>
        <row r="29">
          <cell r="B29">
            <v>0</v>
          </cell>
          <cell r="C29">
            <v>0</v>
          </cell>
          <cell r="D29">
            <v>0</v>
          </cell>
          <cell r="E29">
            <v>0</v>
          </cell>
          <cell r="F29">
            <v>0</v>
          </cell>
          <cell r="G29">
            <v>0</v>
          </cell>
          <cell r="H29">
            <v>200</v>
          </cell>
          <cell r="I29">
            <v>0</v>
          </cell>
        </row>
        <row r="30">
          <cell r="B30">
            <v>2154</v>
          </cell>
          <cell r="C30">
            <v>60</v>
          </cell>
          <cell r="D30">
            <v>4123</v>
          </cell>
          <cell r="E30">
            <v>1170</v>
          </cell>
          <cell r="F30">
            <v>20327</v>
          </cell>
          <cell r="G30">
            <v>205</v>
          </cell>
          <cell r="H30">
            <v>395</v>
          </cell>
          <cell r="I30">
            <v>118</v>
          </cell>
        </row>
        <row r="32">
          <cell r="B32">
            <v>63</v>
          </cell>
          <cell r="C32">
            <v>50</v>
          </cell>
          <cell r="D32">
            <v>80</v>
          </cell>
          <cell r="E32">
            <v>0</v>
          </cell>
          <cell r="F32">
            <v>32</v>
          </cell>
          <cell r="G32">
            <v>25</v>
          </cell>
          <cell r="H32">
            <v>0</v>
          </cell>
          <cell r="I32">
            <v>0</v>
          </cell>
        </row>
        <row r="33">
          <cell r="B33">
            <v>37</v>
          </cell>
          <cell r="C33">
            <v>0</v>
          </cell>
          <cell r="D33">
            <v>199</v>
          </cell>
          <cell r="E33">
            <v>0</v>
          </cell>
          <cell r="F33">
            <v>0</v>
          </cell>
          <cell r="G33">
            <v>5</v>
          </cell>
          <cell r="H33">
            <v>5</v>
          </cell>
          <cell r="I33">
            <v>5</v>
          </cell>
        </row>
        <row r="34">
          <cell r="B34">
            <v>5</v>
          </cell>
          <cell r="C34">
            <v>0</v>
          </cell>
          <cell r="D34">
            <v>25</v>
          </cell>
          <cell r="E34">
            <v>0</v>
          </cell>
          <cell r="F34">
            <v>0</v>
          </cell>
          <cell r="G34">
            <v>0</v>
          </cell>
          <cell r="H34">
            <v>0</v>
          </cell>
          <cell r="I34">
            <v>0</v>
          </cell>
        </row>
        <row r="35">
          <cell r="B35">
            <v>63</v>
          </cell>
          <cell r="C35">
            <v>5</v>
          </cell>
          <cell r="D35">
            <v>20</v>
          </cell>
          <cell r="E35">
            <v>0</v>
          </cell>
          <cell r="F35">
            <v>0</v>
          </cell>
          <cell r="G35">
            <v>140</v>
          </cell>
          <cell r="H35">
            <v>12</v>
          </cell>
          <cell r="I35">
            <v>10</v>
          </cell>
        </row>
        <row r="36">
          <cell r="B36">
            <v>168</v>
          </cell>
          <cell r="C36">
            <v>55</v>
          </cell>
          <cell r="D36">
            <v>324</v>
          </cell>
          <cell r="E36">
            <v>0</v>
          </cell>
          <cell r="F36">
            <v>32</v>
          </cell>
          <cell r="G36">
            <v>170</v>
          </cell>
          <cell r="H36">
            <v>17</v>
          </cell>
          <cell r="I36">
            <v>15</v>
          </cell>
        </row>
        <row r="38">
          <cell r="B38">
            <v>0</v>
          </cell>
          <cell r="C38">
            <v>0</v>
          </cell>
          <cell r="D38">
            <v>0</v>
          </cell>
          <cell r="E38">
            <v>0</v>
          </cell>
          <cell r="F38">
            <v>0</v>
          </cell>
          <cell r="G38">
            <v>0</v>
          </cell>
          <cell r="H38">
            <v>616</v>
          </cell>
          <cell r="I38">
            <v>0</v>
          </cell>
        </row>
        <row r="39">
          <cell r="B39">
            <v>0</v>
          </cell>
          <cell r="C39">
            <v>0</v>
          </cell>
          <cell r="D39">
            <v>119</v>
          </cell>
          <cell r="E39">
            <v>0</v>
          </cell>
          <cell r="F39">
            <v>0</v>
          </cell>
          <cell r="G39">
            <v>0</v>
          </cell>
          <cell r="H39">
            <v>0</v>
          </cell>
          <cell r="I39">
            <v>1</v>
          </cell>
        </row>
        <row r="40">
          <cell r="B40">
            <v>53</v>
          </cell>
          <cell r="C40">
            <v>0</v>
          </cell>
          <cell r="D40">
            <v>115</v>
          </cell>
          <cell r="E40">
            <v>0</v>
          </cell>
          <cell r="F40">
            <v>0</v>
          </cell>
          <cell r="G40">
            <v>0</v>
          </cell>
          <cell r="H40">
            <v>30</v>
          </cell>
          <cell r="I40">
            <v>2</v>
          </cell>
        </row>
        <row r="41">
          <cell r="B41">
            <v>0</v>
          </cell>
          <cell r="C41">
            <v>0</v>
          </cell>
          <cell r="D41">
            <v>0</v>
          </cell>
          <cell r="E41">
            <v>0</v>
          </cell>
          <cell r="F41">
            <v>0</v>
          </cell>
          <cell r="G41">
            <v>0</v>
          </cell>
          <cell r="H41">
            <v>70</v>
          </cell>
          <cell r="I41">
            <v>0</v>
          </cell>
        </row>
        <row r="42">
          <cell r="B42">
            <v>53</v>
          </cell>
          <cell r="C42">
            <v>0</v>
          </cell>
          <cell r="D42">
            <v>234</v>
          </cell>
          <cell r="E42">
            <v>0</v>
          </cell>
          <cell r="F42">
            <v>0</v>
          </cell>
          <cell r="G42">
            <v>0</v>
          </cell>
          <cell r="H42">
            <v>716</v>
          </cell>
          <cell r="I42">
            <v>3</v>
          </cell>
        </row>
        <row r="44">
          <cell r="B44">
            <v>0</v>
          </cell>
          <cell r="C44">
            <v>0</v>
          </cell>
          <cell r="D44">
            <v>0</v>
          </cell>
          <cell r="E44">
            <v>0</v>
          </cell>
          <cell r="F44">
            <v>75</v>
          </cell>
          <cell r="G44">
            <v>0</v>
          </cell>
          <cell r="H44">
            <v>0</v>
          </cell>
          <cell r="I44">
            <v>0</v>
          </cell>
        </row>
        <row r="45">
          <cell r="B45">
            <v>98</v>
          </cell>
          <cell r="C45">
            <v>5</v>
          </cell>
          <cell r="D45">
            <v>160</v>
          </cell>
          <cell r="E45">
            <v>58</v>
          </cell>
          <cell r="F45">
            <v>30</v>
          </cell>
          <cell r="G45">
            <v>20</v>
          </cell>
          <cell r="H45">
            <v>9</v>
          </cell>
          <cell r="I45">
            <v>20</v>
          </cell>
        </row>
        <row r="46">
          <cell r="B46">
            <v>51</v>
          </cell>
          <cell r="C46">
            <v>0</v>
          </cell>
          <cell r="D46">
            <v>30</v>
          </cell>
          <cell r="E46">
            <v>0</v>
          </cell>
          <cell r="F46">
            <v>303</v>
          </cell>
          <cell r="G46">
            <v>10</v>
          </cell>
          <cell r="H46">
            <v>3</v>
          </cell>
          <cell r="I46">
            <v>3</v>
          </cell>
        </row>
        <row r="47">
          <cell r="B47">
            <v>61</v>
          </cell>
          <cell r="C47">
            <v>2</v>
          </cell>
          <cell r="D47">
            <v>20</v>
          </cell>
          <cell r="E47">
            <v>32</v>
          </cell>
          <cell r="F47">
            <v>734</v>
          </cell>
          <cell r="G47">
            <v>0</v>
          </cell>
          <cell r="H47">
            <v>0</v>
          </cell>
          <cell r="I47">
            <v>5</v>
          </cell>
        </row>
        <row r="48">
          <cell r="B48">
            <v>0</v>
          </cell>
          <cell r="C48">
            <v>0</v>
          </cell>
          <cell r="D48">
            <v>0</v>
          </cell>
          <cell r="E48">
            <v>0</v>
          </cell>
          <cell r="F48">
            <v>0</v>
          </cell>
          <cell r="G48">
            <v>100</v>
          </cell>
          <cell r="H48">
            <v>0</v>
          </cell>
          <cell r="I48">
            <v>0</v>
          </cell>
        </row>
        <row r="49">
          <cell r="B49">
            <v>210</v>
          </cell>
          <cell r="C49">
            <v>7</v>
          </cell>
          <cell r="D49">
            <v>210</v>
          </cell>
          <cell r="E49">
            <v>90</v>
          </cell>
          <cell r="F49">
            <v>1142</v>
          </cell>
          <cell r="G49">
            <v>130</v>
          </cell>
          <cell r="H49">
            <v>12</v>
          </cell>
          <cell r="I49">
            <v>28</v>
          </cell>
        </row>
        <row r="51">
          <cell r="B51">
            <v>35</v>
          </cell>
          <cell r="C51">
            <v>5</v>
          </cell>
          <cell r="D51">
            <v>40</v>
          </cell>
          <cell r="E51">
            <v>5</v>
          </cell>
          <cell r="F51">
            <v>300</v>
          </cell>
          <cell r="G51">
            <v>5</v>
          </cell>
          <cell r="H51">
            <v>5</v>
          </cell>
          <cell r="I51">
            <v>5</v>
          </cell>
        </row>
        <row r="52">
          <cell r="B52">
            <v>58</v>
          </cell>
          <cell r="C52">
            <v>0</v>
          </cell>
          <cell r="D52">
            <v>976</v>
          </cell>
          <cell r="E52">
            <v>0</v>
          </cell>
          <cell r="F52">
            <v>0</v>
          </cell>
          <cell r="G52">
            <v>0</v>
          </cell>
          <cell r="H52">
            <v>5</v>
          </cell>
          <cell r="I52">
            <v>5</v>
          </cell>
        </row>
        <row r="53">
          <cell r="B53">
            <v>93</v>
          </cell>
          <cell r="C53">
            <v>5</v>
          </cell>
          <cell r="D53">
            <v>1016</v>
          </cell>
          <cell r="E53">
            <v>5</v>
          </cell>
          <cell r="F53">
            <v>300</v>
          </cell>
          <cell r="G53">
            <v>5</v>
          </cell>
          <cell r="H53">
            <v>10</v>
          </cell>
          <cell r="I53">
            <v>10</v>
          </cell>
        </row>
        <row r="55">
          <cell r="B55">
            <v>440</v>
          </cell>
          <cell r="C55">
            <v>16</v>
          </cell>
          <cell r="D55">
            <v>0</v>
          </cell>
          <cell r="E55">
            <v>100</v>
          </cell>
          <cell r="F55">
            <v>0</v>
          </cell>
          <cell r="G55">
            <v>0</v>
          </cell>
          <cell r="H55">
            <v>50</v>
          </cell>
          <cell r="I55">
            <v>40</v>
          </cell>
        </row>
        <row r="56">
          <cell r="B56">
            <v>614</v>
          </cell>
          <cell r="C56">
            <v>3</v>
          </cell>
          <cell r="D56">
            <v>1602.5</v>
          </cell>
          <cell r="E56">
            <v>42</v>
          </cell>
          <cell r="F56">
            <v>0</v>
          </cell>
          <cell r="G56">
            <v>0</v>
          </cell>
          <cell r="H56">
            <v>15</v>
          </cell>
          <cell r="I56">
            <v>0</v>
          </cell>
        </row>
        <row r="57">
          <cell r="B57">
            <v>41</v>
          </cell>
          <cell r="C57">
            <v>0</v>
          </cell>
          <cell r="D57">
            <v>1715</v>
          </cell>
          <cell r="E57">
            <v>105</v>
          </cell>
          <cell r="F57">
            <v>0</v>
          </cell>
          <cell r="G57">
            <v>0</v>
          </cell>
          <cell r="H57">
            <v>64</v>
          </cell>
          <cell r="I57">
            <v>0</v>
          </cell>
        </row>
        <row r="58">
          <cell r="B58">
            <v>0</v>
          </cell>
          <cell r="C58">
            <v>0</v>
          </cell>
          <cell r="D58">
            <v>0</v>
          </cell>
          <cell r="E58">
            <v>0</v>
          </cell>
          <cell r="F58">
            <v>0</v>
          </cell>
          <cell r="G58">
            <v>0</v>
          </cell>
          <cell r="H58">
            <v>300</v>
          </cell>
          <cell r="I58">
            <v>0</v>
          </cell>
        </row>
        <row r="59">
          <cell r="B59">
            <v>0</v>
          </cell>
          <cell r="C59">
            <v>0</v>
          </cell>
          <cell r="D59">
            <v>0</v>
          </cell>
          <cell r="E59">
            <v>0</v>
          </cell>
          <cell r="F59">
            <v>0</v>
          </cell>
          <cell r="G59">
            <v>0</v>
          </cell>
          <cell r="H59">
            <v>90</v>
          </cell>
          <cell r="I59">
            <v>0</v>
          </cell>
        </row>
        <row r="60">
          <cell r="B60">
            <v>0</v>
          </cell>
          <cell r="C60">
            <v>0</v>
          </cell>
          <cell r="D60">
            <v>0</v>
          </cell>
          <cell r="E60">
            <v>0</v>
          </cell>
          <cell r="F60">
            <v>0</v>
          </cell>
          <cell r="G60">
            <v>0</v>
          </cell>
          <cell r="H60">
            <v>2752.61</v>
          </cell>
        </row>
        <row r="61">
          <cell r="B61">
            <v>1095</v>
          </cell>
          <cell r="C61">
            <v>19</v>
          </cell>
          <cell r="D61">
            <v>3317.5</v>
          </cell>
          <cell r="E61">
            <v>247</v>
          </cell>
          <cell r="F61">
            <v>0</v>
          </cell>
          <cell r="G61">
            <v>0</v>
          </cell>
          <cell r="H61">
            <v>3271.61</v>
          </cell>
          <cell r="I61">
            <v>40</v>
          </cell>
        </row>
      </sheetData>
      <sheetData sheetId="6"/>
      <sheetData sheetId="7">
        <row r="7">
          <cell r="B7">
            <v>110000</v>
          </cell>
          <cell r="C7">
            <v>63000</v>
          </cell>
          <cell r="D7">
            <v>0</v>
          </cell>
          <cell r="E7">
            <v>160000</v>
          </cell>
          <cell r="F7">
            <v>60000</v>
          </cell>
        </row>
        <row r="8">
          <cell r="B8">
            <v>30000</v>
          </cell>
          <cell r="C8">
            <v>25000</v>
          </cell>
          <cell r="D8">
            <v>0</v>
          </cell>
          <cell r="E8">
            <v>40000</v>
          </cell>
          <cell r="F8">
            <v>40000</v>
          </cell>
        </row>
        <row r="9">
          <cell r="B9">
            <v>75000</v>
          </cell>
          <cell r="C9">
            <v>80000</v>
          </cell>
          <cell r="D9">
            <v>100000</v>
          </cell>
          <cell r="E9">
            <v>19000</v>
          </cell>
          <cell r="F9">
            <v>45000</v>
          </cell>
        </row>
        <row r="10">
          <cell r="B10">
            <v>2000</v>
          </cell>
          <cell r="C10">
            <v>3000</v>
          </cell>
          <cell r="D10">
            <v>0</v>
          </cell>
          <cell r="E10">
            <v>0</v>
          </cell>
          <cell r="F10">
            <v>5000</v>
          </cell>
        </row>
        <row r="11">
          <cell r="B11">
            <v>217000</v>
          </cell>
          <cell r="C11">
            <v>171000</v>
          </cell>
          <cell r="D11">
            <v>100000</v>
          </cell>
          <cell r="E11">
            <v>219000</v>
          </cell>
          <cell r="F11">
            <v>150000</v>
          </cell>
        </row>
        <row r="12">
          <cell r="B12">
            <v>0</v>
          </cell>
          <cell r="C12">
            <v>15000</v>
          </cell>
          <cell r="D12">
            <v>0</v>
          </cell>
          <cell r="E12">
            <v>0</v>
          </cell>
          <cell r="F12">
            <v>25000</v>
          </cell>
        </row>
        <row r="13">
          <cell r="B13">
            <v>60000</v>
          </cell>
          <cell r="C13">
            <v>48000</v>
          </cell>
          <cell r="D13">
            <v>0</v>
          </cell>
          <cell r="E13">
            <v>0</v>
          </cell>
          <cell r="F13">
            <v>40000</v>
          </cell>
        </row>
        <row r="14">
          <cell r="B14">
            <v>0</v>
          </cell>
          <cell r="C14">
            <v>25000</v>
          </cell>
          <cell r="D14">
            <v>0</v>
          </cell>
          <cell r="E14">
            <v>0</v>
          </cell>
          <cell r="F14">
            <v>0</v>
          </cell>
        </row>
        <row r="15">
          <cell r="B15">
            <v>277000</v>
          </cell>
          <cell r="C15">
            <v>259000</v>
          </cell>
          <cell r="D15">
            <v>100000</v>
          </cell>
          <cell r="E15">
            <v>219000</v>
          </cell>
          <cell r="F15">
            <v>215000</v>
          </cell>
        </row>
        <row r="18">
          <cell r="B18">
            <v>8500</v>
          </cell>
          <cell r="C18">
            <v>5000</v>
          </cell>
          <cell r="D18">
            <v>0</v>
          </cell>
          <cell r="E18">
            <v>5500</v>
          </cell>
          <cell r="F18">
            <v>41000</v>
          </cell>
        </row>
        <row r="19">
          <cell r="B19">
            <v>16500</v>
          </cell>
          <cell r="C19">
            <v>19000</v>
          </cell>
          <cell r="D19">
            <v>0</v>
          </cell>
          <cell r="E19">
            <v>0</v>
          </cell>
          <cell r="F19">
            <v>9500</v>
          </cell>
        </row>
        <row r="20">
          <cell r="B20">
            <v>0</v>
          </cell>
          <cell r="C20">
            <v>0</v>
          </cell>
          <cell r="D20">
            <v>0</v>
          </cell>
          <cell r="E20">
            <v>0</v>
          </cell>
          <cell r="F20">
            <v>0</v>
          </cell>
        </row>
        <row r="21">
          <cell r="B21">
            <v>25000</v>
          </cell>
          <cell r="C21">
            <v>24000</v>
          </cell>
          <cell r="D21">
            <v>0</v>
          </cell>
          <cell r="E21">
            <v>5500</v>
          </cell>
          <cell r="F21">
            <v>50500</v>
          </cell>
        </row>
        <row r="23">
          <cell r="B23">
            <v>20000</v>
          </cell>
          <cell r="C23">
            <v>0</v>
          </cell>
          <cell r="D23">
            <v>0</v>
          </cell>
          <cell r="E23">
            <v>0</v>
          </cell>
          <cell r="F23">
            <v>5000</v>
          </cell>
        </row>
        <row r="24">
          <cell r="B24">
            <v>8000</v>
          </cell>
          <cell r="C24">
            <v>8500</v>
          </cell>
          <cell r="D24">
            <v>0</v>
          </cell>
          <cell r="E24">
            <v>0</v>
          </cell>
          <cell r="F24">
            <v>3500</v>
          </cell>
        </row>
        <row r="25">
          <cell r="B25">
            <v>0</v>
          </cell>
          <cell r="C25">
            <v>0</v>
          </cell>
          <cell r="D25">
            <v>0</v>
          </cell>
          <cell r="E25">
            <v>0</v>
          </cell>
          <cell r="F25">
            <v>10000</v>
          </cell>
        </row>
        <row r="26">
          <cell r="B26">
            <v>0</v>
          </cell>
          <cell r="C26">
            <v>0</v>
          </cell>
          <cell r="D26">
            <v>0</v>
          </cell>
          <cell r="E26">
            <v>0</v>
          </cell>
          <cell r="F26">
            <v>5000</v>
          </cell>
        </row>
        <row r="27">
          <cell r="B27">
            <v>0</v>
          </cell>
          <cell r="C27">
            <v>0</v>
          </cell>
          <cell r="D27">
            <v>0</v>
          </cell>
          <cell r="E27">
            <v>0</v>
          </cell>
          <cell r="F27">
            <v>0</v>
          </cell>
        </row>
        <row r="28">
          <cell r="B28">
            <v>28000</v>
          </cell>
          <cell r="C28">
            <v>8500</v>
          </cell>
          <cell r="D28">
            <v>0</v>
          </cell>
          <cell r="E28">
            <v>0</v>
          </cell>
          <cell r="F28">
            <v>23500</v>
          </cell>
        </row>
        <row r="29">
          <cell r="B29">
            <v>0</v>
          </cell>
          <cell r="C29">
            <v>10000</v>
          </cell>
          <cell r="D29">
            <v>0</v>
          </cell>
          <cell r="E29">
            <v>0</v>
          </cell>
          <cell r="F29">
            <v>30000</v>
          </cell>
        </row>
        <row r="31">
          <cell r="B31">
            <v>53000</v>
          </cell>
          <cell r="C31">
            <v>42500</v>
          </cell>
          <cell r="D31">
            <v>0</v>
          </cell>
          <cell r="E31">
            <v>5500</v>
          </cell>
          <cell r="F31">
            <v>104000</v>
          </cell>
        </row>
        <row r="33">
          <cell r="B33">
            <v>0</v>
          </cell>
          <cell r="C33">
            <v>0</v>
          </cell>
          <cell r="D33">
            <v>0</v>
          </cell>
          <cell r="E33">
            <v>0</v>
          </cell>
          <cell r="F33">
            <v>25000</v>
          </cell>
        </row>
        <row r="34">
          <cell r="B34">
            <v>5000</v>
          </cell>
          <cell r="C34">
            <v>0</v>
          </cell>
          <cell r="D34">
            <v>0</v>
          </cell>
          <cell r="E34">
            <v>0</v>
          </cell>
          <cell r="F34">
            <v>0</v>
          </cell>
        </row>
        <row r="35">
          <cell r="B35">
            <v>0</v>
          </cell>
          <cell r="C35">
            <v>0</v>
          </cell>
          <cell r="D35">
            <v>0</v>
          </cell>
          <cell r="E35">
            <v>0</v>
          </cell>
          <cell r="F35">
            <v>0</v>
          </cell>
        </row>
        <row r="36">
          <cell r="B36">
            <v>100000</v>
          </cell>
          <cell r="C36">
            <v>25000</v>
          </cell>
          <cell r="D36">
            <v>5000</v>
          </cell>
          <cell r="E36">
            <v>0</v>
          </cell>
          <cell r="F36">
            <v>10000</v>
          </cell>
        </row>
        <row r="37">
          <cell r="B37">
            <v>105000</v>
          </cell>
          <cell r="C37">
            <v>25000</v>
          </cell>
          <cell r="D37">
            <v>5000</v>
          </cell>
          <cell r="E37">
            <v>0</v>
          </cell>
          <cell r="F37">
            <v>35000</v>
          </cell>
        </row>
        <row r="39">
          <cell r="B39">
            <v>0</v>
          </cell>
          <cell r="C39">
            <v>0</v>
          </cell>
          <cell r="D39">
            <v>0</v>
          </cell>
          <cell r="E39">
            <v>0</v>
          </cell>
          <cell r="F39">
            <v>0</v>
          </cell>
        </row>
        <row r="40">
          <cell r="B40">
            <v>0</v>
          </cell>
          <cell r="C40">
            <v>0</v>
          </cell>
          <cell r="D40">
            <v>0</v>
          </cell>
          <cell r="E40">
            <v>0</v>
          </cell>
          <cell r="F40">
            <v>0</v>
          </cell>
        </row>
        <row r="41">
          <cell r="B41">
            <v>0</v>
          </cell>
          <cell r="C41">
            <v>0</v>
          </cell>
          <cell r="D41">
            <v>0</v>
          </cell>
          <cell r="E41">
            <v>0</v>
          </cell>
          <cell r="F41">
            <v>0</v>
          </cell>
        </row>
        <row r="42">
          <cell r="B42">
            <v>0</v>
          </cell>
          <cell r="C42">
            <v>0</v>
          </cell>
          <cell r="D42">
            <v>0</v>
          </cell>
          <cell r="E42">
            <v>0</v>
          </cell>
          <cell r="F42">
            <v>0</v>
          </cell>
        </row>
        <row r="43">
          <cell r="B43">
            <v>0</v>
          </cell>
          <cell r="C43">
            <v>0</v>
          </cell>
          <cell r="D43">
            <v>0</v>
          </cell>
          <cell r="E43">
            <v>0</v>
          </cell>
          <cell r="F43">
            <v>0</v>
          </cell>
        </row>
        <row r="45">
          <cell r="B45">
            <v>0</v>
          </cell>
          <cell r="C45">
            <v>0</v>
          </cell>
          <cell r="D45">
            <v>0</v>
          </cell>
          <cell r="E45">
            <v>0</v>
          </cell>
          <cell r="F45">
            <v>0</v>
          </cell>
        </row>
        <row r="46">
          <cell r="B46">
            <v>0</v>
          </cell>
          <cell r="C46">
            <v>0</v>
          </cell>
          <cell r="D46">
            <v>0</v>
          </cell>
          <cell r="E46">
            <v>0</v>
          </cell>
          <cell r="F46">
            <v>20000</v>
          </cell>
        </row>
        <row r="47">
          <cell r="B47">
            <v>0</v>
          </cell>
          <cell r="C47">
            <v>5000</v>
          </cell>
          <cell r="D47">
            <v>0</v>
          </cell>
          <cell r="E47">
            <v>0</v>
          </cell>
          <cell r="F47">
            <v>5000</v>
          </cell>
        </row>
        <row r="48">
          <cell r="B48">
            <v>0</v>
          </cell>
          <cell r="C48">
            <v>0</v>
          </cell>
          <cell r="D48">
            <v>0</v>
          </cell>
          <cell r="E48">
            <v>0</v>
          </cell>
          <cell r="F48">
            <v>0</v>
          </cell>
        </row>
        <row r="49">
          <cell r="B49">
            <v>0</v>
          </cell>
          <cell r="C49">
            <v>0</v>
          </cell>
          <cell r="D49">
            <v>0</v>
          </cell>
          <cell r="E49">
            <v>0</v>
          </cell>
          <cell r="F49">
            <v>100000</v>
          </cell>
        </row>
        <row r="50">
          <cell r="B50">
            <v>0</v>
          </cell>
          <cell r="C50">
            <v>5000</v>
          </cell>
          <cell r="D50">
            <v>0</v>
          </cell>
          <cell r="E50">
            <v>0</v>
          </cell>
          <cell r="F50">
            <v>125000</v>
          </cell>
        </row>
        <row r="52">
          <cell r="B52">
            <v>0</v>
          </cell>
          <cell r="C52">
            <v>0</v>
          </cell>
          <cell r="D52">
            <v>0</v>
          </cell>
          <cell r="E52">
            <v>0</v>
          </cell>
          <cell r="F52">
            <v>5000</v>
          </cell>
        </row>
        <row r="53">
          <cell r="B53">
            <v>0</v>
          </cell>
          <cell r="C53">
            <v>0</v>
          </cell>
          <cell r="D53">
            <v>0</v>
          </cell>
          <cell r="E53">
            <v>0</v>
          </cell>
          <cell r="F53">
            <v>0</v>
          </cell>
        </row>
        <row r="54">
          <cell r="B54">
            <v>0</v>
          </cell>
          <cell r="C54">
            <v>0</v>
          </cell>
          <cell r="D54">
            <v>0</v>
          </cell>
          <cell r="E54">
            <v>0</v>
          </cell>
          <cell r="F54">
            <v>5000</v>
          </cell>
        </row>
        <row r="57">
          <cell r="C57">
            <v>279000</v>
          </cell>
        </row>
        <row r="58">
          <cell r="C58">
            <v>52500</v>
          </cell>
        </row>
        <row r="59">
          <cell r="C59">
            <v>0</v>
          </cell>
        </row>
        <row r="60">
          <cell r="C60">
            <v>331500</v>
          </cell>
        </row>
      </sheetData>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mp;P Summary YTD"/>
      <sheetName val="Committed Data Table"/>
      <sheetName val="EB $"/>
      <sheetName val="ResiOtherMet Monthly Target$"/>
      <sheetName val="C&amp;I Monthly Target$"/>
      <sheetName val="Monthly Goal Report"/>
      <sheetName val="Expended &amp; Committed Report"/>
      <sheetName val="YTD 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22 - 2024 Combined Table A1"/>
      <sheetName val="2021 Joint Table A1 Pies"/>
      <sheetName val="2022 Joint Table A1 Pies "/>
      <sheetName val="2023 Joint Table A1 Pies"/>
      <sheetName val="2024 Joint Table A1 Pies "/>
      <sheetName val=" 2021 - 2024 Comb Revenues A2"/>
      <sheetName val="ES CT Electric Table A  "/>
      <sheetName val="Table A Pie Sector Alloc2022-24"/>
      <sheetName val="ES CT Electric 2021 Table A Pie"/>
      <sheetName val="ES CT Electric 2022 Table A Pie"/>
      <sheetName val="ES CT Electric 2023 Table A Pie"/>
      <sheetName val="ES CT Electric 2024 Table A Pie"/>
      <sheetName val="ES CT Electric Table C 2021"/>
      <sheetName val="ES CT Electric 2021 Table C Pie"/>
      <sheetName val="ES CT Electric 2022 Table C "/>
      <sheetName val="ES CT Electric 2022 Table C Pie"/>
      <sheetName val="ES CT Electric 2023 Table C "/>
      <sheetName val="ES CT Electric 2023 Table C Pie"/>
      <sheetName val="ES CT Electric 2024 Table C "/>
      <sheetName val="ES CT Electric 2024 Table C Pie"/>
      <sheetName val="2013-24 ES CT E Table D-$"/>
      <sheetName val="2013-24 ES CT E Table D1-kW"/>
      <sheetName val="2013-24 ESCTETable D2-annualkWh"/>
      <sheetName val="2013-24 ESCTETable D3-lftimekWh"/>
      <sheetName val="2013-24 Table D4 Units "/>
      <sheetName val="2013-24 ES CT E Table D5-kW"/>
      <sheetName val="2013-24 ESCTETable D6-annualkWh"/>
      <sheetName val="2013-24 ESCTETable D7-lftimekWh"/>
      <sheetName val="2019-24 ESCTETableD8AnnMMBTU"/>
      <sheetName val="2019-24 ESCTETableD9LifMMBTU"/>
      <sheetName val="2021 ES CT PMI"/>
      <sheetName val="2022 ES CT PMI"/>
      <sheetName val="2023 ES CT PMI"/>
      <sheetName val="2024 ES CT PMI"/>
      <sheetName val="2023 ES CT PMI  Old"/>
      <sheetName val="2024 ES CT PMI Old"/>
    </sheetNames>
    <sheetDataSet>
      <sheetData sheetId="0" refreshError="1"/>
      <sheetData sheetId="1" refreshError="1"/>
      <sheetData sheetId="2" refreshError="1"/>
      <sheetData sheetId="3" refreshError="1"/>
      <sheetData sheetId="4" refreshError="1"/>
      <sheetData sheetId="5" refreshError="1"/>
      <sheetData sheetId="6">
        <row r="10">
          <cell r="J10">
            <v>4158000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8">
          <cell r="N8">
            <v>1461.7628930741066</v>
          </cell>
        </row>
      </sheetData>
      <sheetData sheetId="22" refreshError="1"/>
      <sheetData sheetId="23">
        <row r="8">
          <cell r="N8">
            <v>57755.24339629391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7">
          <cell r="B7" t="str">
            <v>Performance %
Minimum</v>
          </cell>
        </row>
      </sheetData>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16 - 2018 Combined Table A1"/>
      <sheetName val=" 2015 - 2018 Comb Revenues A2"/>
      <sheetName val="2015 Joint Table A1 Pies"/>
      <sheetName val="2016 Joint Table A1 Pies"/>
      <sheetName val="2017 Joint Table A1 Pies"/>
      <sheetName val="2018 Joint Table A1 Pies"/>
      <sheetName val="ES CT Electric Table A  "/>
      <sheetName val="ES CT Electric 2015 Table A Pie"/>
      <sheetName val="ES CT Electric 2016 Table A Pie"/>
      <sheetName val="ES CT Electric 2017 Table A Pie"/>
      <sheetName val="ES CT Electric 2018 Table A Pie"/>
      <sheetName val="ES CT Electric Table C 2016"/>
      <sheetName val="ES CT Electric Table C 2017"/>
      <sheetName val="ES CT Electric Table C 2018"/>
      <sheetName val="ES CT Electric 2016 Table C Pie"/>
      <sheetName val="ES CT Electric 2017 Table C Pie"/>
      <sheetName val="ES CT Electric 2018 Table C Pie"/>
      <sheetName val="2009-18 ES CT E Table D-$"/>
      <sheetName val="2009-18 ES CT E Table D1-kW"/>
      <sheetName val="2009-18 ESCTETable D2-annualkWh"/>
      <sheetName val="2009-15 ESCTETable D3-lftimekWh"/>
      <sheetName val="2009-15 Table D4 Units "/>
      <sheetName val="2009-18 ES CT E Table D5-kW"/>
      <sheetName val="2009-18 ESCTETable D6-annualkWh"/>
      <sheetName val="2009-15 ESCTETable D7-lftimekWh"/>
      <sheetName val="2016  ES CT  PMI"/>
      <sheetName val="2017  ES CT  PMI"/>
      <sheetName val="2018  ES CT  PMI"/>
      <sheetName val="2016 ES CT E Perf. Incentiv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s>
    <sheetDataSet>
      <sheetData sheetId="0" refreshError="1">
        <row r="33">
          <cell r="B33" t="str">
            <v>Energy Star Clothes Washers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s>
    <sheetDataSet>
      <sheetData sheetId="0" refreshError="1">
        <row r="33">
          <cell r="B33" t="str">
            <v>Energy Star Clothes Washers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A)"/>
      <sheetName val="Exhibit 1(B)"/>
      <sheetName val="Exhibit 1(C)"/>
      <sheetName val="Exhibit 1(D)"/>
      <sheetName val="Rate Base"/>
      <sheetName val="Operating Income"/>
      <sheetName val="R1"/>
      <sheetName val="R2"/>
      <sheetName val="R3"/>
      <sheetName val="R4"/>
      <sheetName val="R5"/>
      <sheetName val="R6"/>
      <sheetName val="R7"/>
      <sheetName val="R8"/>
      <sheetName val="R9"/>
      <sheetName val="R10"/>
      <sheetName val="R11"/>
      <sheetName val="R12"/>
      <sheetName val="R13"/>
      <sheetName val="R14"/>
      <sheetName val="R15"/>
      <sheetName val="R16"/>
      <sheetName val="R 17"/>
      <sheetName val="Common Equity"/>
      <sheetName val="Cost of Debt"/>
      <sheetName val="Schedule C-2"/>
      <sheetName val="WP C-2A"/>
      <sheetName val="WP C-2B"/>
      <sheetName val="WP C-2C"/>
      <sheetName val="WP C-2D"/>
      <sheetName val="WP C-2E"/>
      <sheetName val="Schedule C-3"/>
      <sheetName val="Schedule D-1"/>
      <sheetName val="Schedule D-2"/>
      <sheetName val="ROR"/>
      <sheetName val="Dialog1"/>
      <sheetName val="Module1"/>
      <sheetName val="ACCESS_DATA"/>
      <sheetName val="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AC101</v>
          </cell>
          <cell r="B2">
            <v>595867</v>
          </cell>
          <cell r="C2">
            <v>596000</v>
          </cell>
          <cell r="D2">
            <v>572412</v>
          </cell>
          <cell r="E2">
            <v>572702</v>
          </cell>
          <cell r="F2">
            <v>576582</v>
          </cell>
          <cell r="G2">
            <v>0</v>
          </cell>
          <cell r="H2">
            <v>0</v>
          </cell>
          <cell r="I2">
            <v>0</v>
          </cell>
          <cell r="J2">
            <v>0</v>
          </cell>
          <cell r="K2">
            <v>0</v>
          </cell>
          <cell r="L2">
            <v>0</v>
          </cell>
          <cell r="M2">
            <v>0</v>
          </cell>
          <cell r="N2">
            <v>0</v>
          </cell>
          <cell r="O2">
            <v>37986</v>
          </cell>
        </row>
        <row r="3">
          <cell r="A3" t="str">
            <v>AC106</v>
          </cell>
          <cell r="B3">
            <v>112753</v>
          </cell>
          <cell r="C3">
            <v>100764</v>
          </cell>
          <cell r="D3">
            <v>118209</v>
          </cell>
          <cell r="E3">
            <v>105987</v>
          </cell>
          <cell r="F3">
            <v>90023</v>
          </cell>
          <cell r="G3">
            <v>0</v>
          </cell>
          <cell r="H3">
            <v>0</v>
          </cell>
          <cell r="I3">
            <v>0</v>
          </cell>
          <cell r="J3">
            <v>0</v>
          </cell>
          <cell r="K3">
            <v>0</v>
          </cell>
          <cell r="L3">
            <v>0</v>
          </cell>
          <cell r="M3">
            <v>0</v>
          </cell>
          <cell r="N3">
            <v>0</v>
          </cell>
          <cell r="O3">
            <v>37986</v>
          </cell>
        </row>
        <row r="4">
          <cell r="A4" t="str">
            <v>AC108</v>
          </cell>
          <cell r="B4">
            <v>-290639</v>
          </cell>
          <cell r="C4">
            <v>-287289</v>
          </cell>
          <cell r="D4">
            <v>-283891</v>
          </cell>
          <cell r="E4">
            <v>-281572</v>
          </cell>
          <cell r="F4">
            <v>-280592</v>
          </cell>
          <cell r="G4">
            <v>0</v>
          </cell>
          <cell r="H4">
            <v>0</v>
          </cell>
          <cell r="I4">
            <v>0</v>
          </cell>
          <cell r="J4">
            <v>0</v>
          </cell>
          <cell r="K4">
            <v>0</v>
          </cell>
          <cell r="L4">
            <v>0</v>
          </cell>
          <cell r="M4">
            <v>0</v>
          </cell>
          <cell r="N4">
            <v>0</v>
          </cell>
          <cell r="O4">
            <v>37986</v>
          </cell>
        </row>
        <row r="5">
          <cell r="A5" t="str">
            <v>AC14404</v>
          </cell>
          <cell r="B5">
            <v>-50</v>
          </cell>
          <cell r="C5">
            <v>-50</v>
          </cell>
          <cell r="D5">
            <v>0</v>
          </cell>
          <cell r="E5">
            <v>37</v>
          </cell>
          <cell r="F5">
            <v>35</v>
          </cell>
          <cell r="G5">
            <v>0</v>
          </cell>
          <cell r="H5">
            <v>0</v>
          </cell>
          <cell r="I5">
            <v>0</v>
          </cell>
          <cell r="J5">
            <v>0</v>
          </cell>
          <cell r="K5">
            <v>0</v>
          </cell>
          <cell r="L5">
            <v>0</v>
          </cell>
          <cell r="M5">
            <v>0</v>
          </cell>
          <cell r="N5">
            <v>0</v>
          </cell>
          <cell r="O5">
            <v>37986</v>
          </cell>
        </row>
        <row r="6">
          <cell r="A6" t="str">
            <v>AC14411</v>
          </cell>
          <cell r="B6">
            <v>-5679</v>
          </cell>
          <cell r="C6">
            <v>-6177</v>
          </cell>
          <cell r="D6">
            <v>-7055</v>
          </cell>
          <cell r="E6">
            <v>-5164</v>
          </cell>
          <cell r="F6">
            <v>-7684</v>
          </cell>
          <cell r="G6">
            <v>0</v>
          </cell>
          <cell r="H6">
            <v>0</v>
          </cell>
          <cell r="I6">
            <v>0</v>
          </cell>
          <cell r="J6">
            <v>0</v>
          </cell>
          <cell r="K6">
            <v>0</v>
          </cell>
          <cell r="L6">
            <v>0</v>
          </cell>
          <cell r="M6">
            <v>0</v>
          </cell>
          <cell r="N6">
            <v>0</v>
          </cell>
          <cell r="O6">
            <v>37986</v>
          </cell>
        </row>
        <row r="7">
          <cell r="A7" t="str">
            <v>AC151</v>
          </cell>
          <cell r="B7">
            <v>37397</v>
          </cell>
          <cell r="C7">
            <v>34098</v>
          </cell>
          <cell r="D7">
            <v>29898</v>
          </cell>
          <cell r="E7">
            <v>24204</v>
          </cell>
          <cell r="F7">
            <v>17788</v>
          </cell>
          <cell r="G7">
            <v>11885</v>
          </cell>
          <cell r="H7">
            <v>7058</v>
          </cell>
          <cell r="I7">
            <v>6701</v>
          </cell>
          <cell r="J7">
            <v>10519</v>
          </cell>
          <cell r="K7">
            <v>14469</v>
          </cell>
          <cell r="L7">
            <v>17670</v>
          </cell>
          <cell r="M7">
            <v>17769</v>
          </cell>
          <cell r="N7">
            <v>17457</v>
          </cell>
          <cell r="O7">
            <v>37986</v>
          </cell>
        </row>
        <row r="8">
          <cell r="A8" t="str">
            <v>AC152</v>
          </cell>
          <cell r="B8">
            <v>6</v>
          </cell>
          <cell r="C8">
            <v>6</v>
          </cell>
          <cell r="D8">
            <v>6</v>
          </cell>
          <cell r="E8">
            <v>6</v>
          </cell>
          <cell r="F8">
            <v>6</v>
          </cell>
          <cell r="G8">
            <v>6</v>
          </cell>
          <cell r="H8">
            <v>6</v>
          </cell>
          <cell r="I8">
            <v>5</v>
          </cell>
          <cell r="J8">
            <v>5</v>
          </cell>
          <cell r="K8">
            <v>5</v>
          </cell>
          <cell r="L8">
            <v>5</v>
          </cell>
          <cell r="M8">
            <v>5</v>
          </cell>
          <cell r="N8">
            <v>5</v>
          </cell>
          <cell r="O8">
            <v>37986</v>
          </cell>
        </row>
        <row r="9">
          <cell r="A9" t="str">
            <v>AC16501</v>
          </cell>
          <cell r="B9">
            <v>213</v>
          </cell>
          <cell r="C9">
            <v>361</v>
          </cell>
          <cell r="D9">
            <v>299</v>
          </cell>
          <cell r="E9">
            <v>469</v>
          </cell>
          <cell r="F9">
            <v>266</v>
          </cell>
          <cell r="G9">
            <v>0</v>
          </cell>
          <cell r="H9">
            <v>0</v>
          </cell>
          <cell r="I9">
            <v>0</v>
          </cell>
          <cell r="J9">
            <v>0</v>
          </cell>
          <cell r="K9">
            <v>0</v>
          </cell>
          <cell r="L9">
            <v>0</v>
          </cell>
          <cell r="M9">
            <v>0</v>
          </cell>
          <cell r="N9">
            <v>0</v>
          </cell>
          <cell r="O9">
            <v>37986</v>
          </cell>
        </row>
        <row r="10">
          <cell r="A10" t="str">
            <v>AC16507</v>
          </cell>
          <cell r="B10">
            <v>0</v>
          </cell>
          <cell r="C10">
            <v>0</v>
          </cell>
          <cell r="D10">
            <v>0</v>
          </cell>
          <cell r="E10">
            <v>0</v>
          </cell>
          <cell r="F10">
            <v>0</v>
          </cell>
          <cell r="G10">
            <v>0</v>
          </cell>
          <cell r="H10">
            <v>0</v>
          </cell>
          <cell r="I10">
            <v>0</v>
          </cell>
          <cell r="J10">
            <v>0</v>
          </cell>
          <cell r="K10">
            <v>0</v>
          </cell>
          <cell r="L10">
            <v>0</v>
          </cell>
          <cell r="M10">
            <v>0</v>
          </cell>
          <cell r="N10">
            <v>0</v>
          </cell>
          <cell r="O10">
            <v>37986</v>
          </cell>
        </row>
        <row r="11">
          <cell r="A11" t="str">
            <v>AC16596</v>
          </cell>
          <cell r="B11">
            <v>32</v>
          </cell>
          <cell r="C11">
            <v>348</v>
          </cell>
          <cell r="D11">
            <v>348</v>
          </cell>
          <cell r="E11">
            <v>348</v>
          </cell>
          <cell r="F11">
            <v>497</v>
          </cell>
          <cell r="G11">
            <v>0</v>
          </cell>
          <cell r="H11">
            <v>0</v>
          </cell>
          <cell r="I11">
            <v>0</v>
          </cell>
          <cell r="J11">
            <v>0</v>
          </cell>
          <cell r="K11">
            <v>0</v>
          </cell>
          <cell r="L11">
            <v>0</v>
          </cell>
          <cell r="M11">
            <v>0</v>
          </cell>
          <cell r="N11">
            <v>0</v>
          </cell>
          <cell r="O11">
            <v>37986</v>
          </cell>
        </row>
        <row r="12">
          <cell r="A12" t="str">
            <v>AC165XX</v>
          </cell>
          <cell r="B12">
            <v>0</v>
          </cell>
          <cell r="C12">
            <v>0</v>
          </cell>
          <cell r="D12">
            <v>0</v>
          </cell>
          <cell r="E12">
            <v>0</v>
          </cell>
          <cell r="F12">
            <v>0</v>
          </cell>
          <cell r="G12">
            <v>0</v>
          </cell>
          <cell r="H12">
            <v>0</v>
          </cell>
          <cell r="I12">
            <v>0</v>
          </cell>
          <cell r="J12">
            <v>0</v>
          </cell>
          <cell r="K12">
            <v>0</v>
          </cell>
          <cell r="L12">
            <v>0</v>
          </cell>
          <cell r="M12">
            <v>0</v>
          </cell>
          <cell r="N12">
            <v>0</v>
          </cell>
          <cell r="O12">
            <v>37986</v>
          </cell>
        </row>
        <row r="13">
          <cell r="A13" t="str">
            <v>AC18103</v>
          </cell>
          <cell r="B13">
            <v>0</v>
          </cell>
          <cell r="C13">
            <v>0</v>
          </cell>
          <cell r="D13">
            <v>0</v>
          </cell>
          <cell r="E13">
            <v>0</v>
          </cell>
          <cell r="F13">
            <v>0</v>
          </cell>
          <cell r="G13">
            <v>0</v>
          </cell>
          <cell r="H13">
            <v>0</v>
          </cell>
          <cell r="I13">
            <v>0</v>
          </cell>
          <cell r="J13">
            <v>0</v>
          </cell>
          <cell r="K13">
            <v>0</v>
          </cell>
          <cell r="L13">
            <v>0</v>
          </cell>
          <cell r="M13">
            <v>0</v>
          </cell>
          <cell r="N13">
            <v>0</v>
          </cell>
          <cell r="O13">
            <v>37986</v>
          </cell>
        </row>
        <row r="14">
          <cell r="A14" t="str">
            <v>AC18104</v>
          </cell>
          <cell r="B14">
            <v>161811</v>
          </cell>
          <cell r="C14">
            <v>164263</v>
          </cell>
          <cell r="D14">
            <v>166715</v>
          </cell>
          <cell r="E14">
            <v>169166</v>
          </cell>
          <cell r="F14">
            <v>171618</v>
          </cell>
          <cell r="G14">
            <v>174070</v>
          </cell>
          <cell r="H14">
            <v>176521</v>
          </cell>
          <cell r="I14">
            <v>178973</v>
          </cell>
          <cell r="J14">
            <v>181425</v>
          </cell>
          <cell r="K14">
            <v>183876</v>
          </cell>
          <cell r="L14">
            <v>186328</v>
          </cell>
          <cell r="M14">
            <v>188780</v>
          </cell>
          <cell r="N14">
            <v>191231</v>
          </cell>
          <cell r="O14">
            <v>37986</v>
          </cell>
        </row>
        <row r="15">
          <cell r="A15" t="str">
            <v>AC18105</v>
          </cell>
          <cell r="B15">
            <v>41978</v>
          </cell>
          <cell r="C15">
            <v>42199</v>
          </cell>
          <cell r="D15">
            <v>42420</v>
          </cell>
          <cell r="E15">
            <v>42641</v>
          </cell>
          <cell r="F15">
            <v>42862</v>
          </cell>
          <cell r="G15">
            <v>43083</v>
          </cell>
          <cell r="H15">
            <v>43304</v>
          </cell>
          <cell r="I15">
            <v>43524</v>
          </cell>
          <cell r="J15">
            <v>43745</v>
          </cell>
          <cell r="K15">
            <v>43966</v>
          </cell>
          <cell r="L15">
            <v>44187</v>
          </cell>
          <cell r="M15">
            <v>44408</v>
          </cell>
          <cell r="N15">
            <v>44629</v>
          </cell>
          <cell r="O15">
            <v>37986</v>
          </cell>
        </row>
        <row r="16">
          <cell r="A16" t="str">
            <v>AC18107</v>
          </cell>
          <cell r="B16">
            <v>155646</v>
          </cell>
          <cell r="C16">
            <v>156344</v>
          </cell>
          <cell r="D16">
            <v>157042</v>
          </cell>
          <cell r="E16">
            <v>157740</v>
          </cell>
          <cell r="F16">
            <v>158438</v>
          </cell>
          <cell r="G16">
            <v>159136</v>
          </cell>
          <cell r="H16">
            <v>159834</v>
          </cell>
          <cell r="I16">
            <v>160532</v>
          </cell>
          <cell r="J16">
            <v>161230</v>
          </cell>
          <cell r="K16">
            <v>161928</v>
          </cell>
          <cell r="L16">
            <v>162626</v>
          </cell>
          <cell r="M16">
            <v>163324</v>
          </cell>
          <cell r="N16">
            <v>164022</v>
          </cell>
          <cell r="O16">
            <v>37986</v>
          </cell>
        </row>
        <row r="17">
          <cell r="A17" t="str">
            <v>AC18110</v>
          </cell>
          <cell r="B17">
            <v>0</v>
          </cell>
          <cell r="C17">
            <v>0</v>
          </cell>
          <cell r="D17">
            <v>0</v>
          </cell>
          <cell r="E17">
            <v>0</v>
          </cell>
          <cell r="F17">
            <v>0</v>
          </cell>
          <cell r="G17">
            <v>0</v>
          </cell>
          <cell r="H17">
            <v>0</v>
          </cell>
          <cell r="I17">
            <v>0</v>
          </cell>
          <cell r="J17">
            <v>0</v>
          </cell>
          <cell r="K17">
            <v>0</v>
          </cell>
          <cell r="L17">
            <v>0</v>
          </cell>
          <cell r="M17">
            <v>0</v>
          </cell>
          <cell r="N17">
            <v>0</v>
          </cell>
          <cell r="O17">
            <v>37986</v>
          </cell>
        </row>
        <row r="18">
          <cell r="A18" t="str">
            <v>AC18116</v>
          </cell>
          <cell r="B18">
            <v>124891</v>
          </cell>
          <cell r="C18">
            <v>126115</v>
          </cell>
          <cell r="D18">
            <v>127340</v>
          </cell>
          <cell r="E18">
            <v>128564</v>
          </cell>
          <cell r="F18">
            <v>129789</v>
          </cell>
          <cell r="G18">
            <v>131013</v>
          </cell>
          <cell r="H18">
            <v>132237</v>
          </cell>
          <cell r="I18">
            <v>133462</v>
          </cell>
          <cell r="J18">
            <v>134686</v>
          </cell>
          <cell r="K18">
            <v>135911</v>
          </cell>
          <cell r="L18">
            <v>137135</v>
          </cell>
          <cell r="M18">
            <v>138359</v>
          </cell>
          <cell r="N18">
            <v>139584</v>
          </cell>
          <cell r="O18">
            <v>37986</v>
          </cell>
        </row>
        <row r="19">
          <cell r="A19" t="str">
            <v>AC1812F</v>
          </cell>
          <cell r="B19">
            <v>0</v>
          </cell>
          <cell r="C19">
            <v>0</v>
          </cell>
          <cell r="D19">
            <v>0</v>
          </cell>
          <cell r="E19">
            <v>0</v>
          </cell>
          <cell r="F19">
            <v>0</v>
          </cell>
          <cell r="G19">
            <v>0</v>
          </cell>
          <cell r="H19">
            <v>0</v>
          </cell>
          <cell r="I19">
            <v>0</v>
          </cell>
          <cell r="J19">
            <v>0</v>
          </cell>
          <cell r="K19">
            <v>0</v>
          </cell>
          <cell r="L19">
            <v>0</v>
          </cell>
          <cell r="M19">
            <v>0</v>
          </cell>
          <cell r="N19">
            <v>0</v>
          </cell>
          <cell r="O19">
            <v>37986</v>
          </cell>
        </row>
        <row r="20">
          <cell r="A20" t="str">
            <v>AC181WM</v>
          </cell>
          <cell r="B20">
            <v>0</v>
          </cell>
          <cell r="C20">
            <v>0</v>
          </cell>
          <cell r="D20">
            <v>0</v>
          </cell>
          <cell r="E20">
            <v>18</v>
          </cell>
          <cell r="F20">
            <v>0</v>
          </cell>
          <cell r="G20">
            <v>0</v>
          </cell>
          <cell r="H20">
            <v>0</v>
          </cell>
          <cell r="I20">
            <v>0</v>
          </cell>
          <cell r="J20">
            <v>0</v>
          </cell>
          <cell r="K20">
            <v>0</v>
          </cell>
          <cell r="L20">
            <v>0</v>
          </cell>
          <cell r="M20">
            <v>0</v>
          </cell>
          <cell r="N20">
            <v>0</v>
          </cell>
          <cell r="O20">
            <v>37986</v>
          </cell>
        </row>
        <row r="21">
          <cell r="A21" t="str">
            <v>AC181Y8</v>
          </cell>
          <cell r="B21">
            <v>110260</v>
          </cell>
          <cell r="C21">
            <v>110716</v>
          </cell>
          <cell r="D21">
            <v>111171</v>
          </cell>
          <cell r="E21">
            <v>111627</v>
          </cell>
          <cell r="F21">
            <v>112083</v>
          </cell>
          <cell r="G21">
            <v>112538</v>
          </cell>
          <cell r="H21">
            <v>112994</v>
          </cell>
          <cell r="I21">
            <v>113449</v>
          </cell>
          <cell r="J21">
            <v>113905</v>
          </cell>
          <cell r="K21">
            <v>114361</v>
          </cell>
          <cell r="L21">
            <v>114816</v>
          </cell>
          <cell r="M21">
            <v>115272</v>
          </cell>
          <cell r="N21">
            <v>115727</v>
          </cell>
          <cell r="O21">
            <v>37986</v>
          </cell>
        </row>
        <row r="22">
          <cell r="A22" t="str">
            <v>AC181Y9</v>
          </cell>
          <cell r="B22">
            <v>30451</v>
          </cell>
          <cell r="C22">
            <v>31973</v>
          </cell>
          <cell r="D22">
            <v>33496</v>
          </cell>
          <cell r="E22">
            <v>35018</v>
          </cell>
          <cell r="F22">
            <v>36541</v>
          </cell>
          <cell r="G22">
            <v>38063</v>
          </cell>
          <cell r="H22">
            <v>39586</v>
          </cell>
          <cell r="I22">
            <v>41108</v>
          </cell>
          <cell r="J22">
            <v>42631</v>
          </cell>
          <cell r="K22">
            <v>44154</v>
          </cell>
          <cell r="L22">
            <v>45676</v>
          </cell>
          <cell r="M22">
            <v>47199</v>
          </cell>
          <cell r="N22">
            <v>48721</v>
          </cell>
          <cell r="O22">
            <v>37986</v>
          </cell>
        </row>
        <row r="23">
          <cell r="A23" t="str">
            <v>AC181YG</v>
          </cell>
          <cell r="B23">
            <v>1630</v>
          </cell>
          <cell r="C23">
            <v>1630</v>
          </cell>
          <cell r="D23">
            <v>1630</v>
          </cell>
          <cell r="E23">
            <v>1630</v>
          </cell>
          <cell r="F23">
            <v>1630</v>
          </cell>
          <cell r="G23">
            <v>1630</v>
          </cell>
          <cell r="H23">
            <v>1630</v>
          </cell>
          <cell r="I23">
            <v>0</v>
          </cell>
          <cell r="J23">
            <v>0</v>
          </cell>
          <cell r="K23">
            <v>0</v>
          </cell>
          <cell r="L23">
            <v>0</v>
          </cell>
          <cell r="M23">
            <v>0</v>
          </cell>
          <cell r="N23">
            <v>0</v>
          </cell>
          <cell r="O23">
            <v>37986</v>
          </cell>
        </row>
        <row r="24">
          <cell r="A24" t="str">
            <v>AC1826A</v>
          </cell>
          <cell r="B24">
            <v>68</v>
          </cell>
          <cell r="C24">
            <v>75</v>
          </cell>
          <cell r="D24">
            <v>82</v>
          </cell>
          <cell r="E24">
            <v>89</v>
          </cell>
          <cell r="F24">
            <v>96</v>
          </cell>
          <cell r="G24">
            <v>0</v>
          </cell>
          <cell r="H24">
            <v>0</v>
          </cell>
          <cell r="I24">
            <v>0</v>
          </cell>
          <cell r="J24">
            <v>0</v>
          </cell>
          <cell r="K24">
            <v>0</v>
          </cell>
          <cell r="L24">
            <v>0</v>
          </cell>
          <cell r="M24">
            <v>0</v>
          </cell>
          <cell r="N24">
            <v>0</v>
          </cell>
          <cell r="O24">
            <v>37986</v>
          </cell>
        </row>
        <row r="25">
          <cell r="A25" t="str">
            <v>AC18274</v>
          </cell>
          <cell r="B25">
            <v>11</v>
          </cell>
          <cell r="C25">
            <v>12</v>
          </cell>
          <cell r="D25">
            <v>13</v>
          </cell>
          <cell r="E25">
            <v>14</v>
          </cell>
          <cell r="F25">
            <v>15</v>
          </cell>
          <cell r="G25">
            <v>0</v>
          </cell>
          <cell r="H25">
            <v>0</v>
          </cell>
          <cell r="I25">
            <v>0</v>
          </cell>
          <cell r="J25">
            <v>0</v>
          </cell>
          <cell r="K25">
            <v>0</v>
          </cell>
          <cell r="L25">
            <v>0</v>
          </cell>
          <cell r="M25">
            <v>0</v>
          </cell>
          <cell r="N25">
            <v>0</v>
          </cell>
          <cell r="O25">
            <v>37986</v>
          </cell>
        </row>
        <row r="26">
          <cell r="A26" t="str">
            <v>AC182DE</v>
          </cell>
          <cell r="B26">
            <v>137</v>
          </cell>
          <cell r="C26">
            <v>150</v>
          </cell>
          <cell r="D26">
            <v>164</v>
          </cell>
          <cell r="E26">
            <v>178</v>
          </cell>
          <cell r="F26">
            <v>191</v>
          </cell>
          <cell r="G26">
            <v>0</v>
          </cell>
          <cell r="H26">
            <v>0</v>
          </cell>
          <cell r="I26">
            <v>0</v>
          </cell>
          <cell r="J26">
            <v>0</v>
          </cell>
          <cell r="K26">
            <v>0</v>
          </cell>
          <cell r="L26">
            <v>0</v>
          </cell>
          <cell r="M26">
            <v>0</v>
          </cell>
          <cell r="N26">
            <v>0</v>
          </cell>
          <cell r="O26">
            <v>37986</v>
          </cell>
        </row>
        <row r="27">
          <cell r="A27" t="str">
            <v>AC182DK</v>
          </cell>
          <cell r="B27">
            <v>11764</v>
          </cell>
          <cell r="C27">
            <v>15223</v>
          </cell>
          <cell r="D27">
            <v>13447</v>
          </cell>
          <cell r="E27">
            <v>18654</v>
          </cell>
          <cell r="F27">
            <v>8139</v>
          </cell>
          <cell r="G27">
            <v>0</v>
          </cell>
          <cell r="H27">
            <v>0</v>
          </cell>
          <cell r="I27">
            <v>0</v>
          </cell>
          <cell r="J27">
            <v>0</v>
          </cell>
          <cell r="K27">
            <v>0</v>
          </cell>
          <cell r="L27">
            <v>0</v>
          </cell>
          <cell r="M27">
            <v>0</v>
          </cell>
          <cell r="N27">
            <v>0</v>
          </cell>
          <cell r="O27">
            <v>37986</v>
          </cell>
        </row>
        <row r="28">
          <cell r="A28" t="str">
            <v>AC182DP</v>
          </cell>
          <cell r="B28">
            <v>32</v>
          </cell>
          <cell r="C28">
            <v>35</v>
          </cell>
          <cell r="D28">
            <v>38</v>
          </cell>
          <cell r="E28">
            <v>41</v>
          </cell>
          <cell r="F28">
            <v>44</v>
          </cell>
          <cell r="G28">
            <v>0</v>
          </cell>
          <cell r="H28">
            <v>0</v>
          </cell>
          <cell r="I28">
            <v>0</v>
          </cell>
          <cell r="J28">
            <v>0</v>
          </cell>
          <cell r="K28">
            <v>0</v>
          </cell>
          <cell r="L28">
            <v>0</v>
          </cell>
          <cell r="M28">
            <v>0</v>
          </cell>
          <cell r="N28">
            <v>0</v>
          </cell>
          <cell r="O28">
            <v>37986</v>
          </cell>
        </row>
        <row r="29">
          <cell r="A29" t="str">
            <v>AC182DS</v>
          </cell>
          <cell r="B29">
            <v>42</v>
          </cell>
          <cell r="C29">
            <v>46</v>
          </cell>
          <cell r="D29">
            <v>50</v>
          </cell>
          <cell r="E29">
            <v>55</v>
          </cell>
          <cell r="F29">
            <v>59</v>
          </cell>
          <cell r="G29">
            <v>0</v>
          </cell>
          <cell r="H29">
            <v>0</v>
          </cell>
          <cell r="I29">
            <v>0</v>
          </cell>
          <cell r="J29">
            <v>0</v>
          </cell>
          <cell r="K29">
            <v>0</v>
          </cell>
          <cell r="L29">
            <v>0</v>
          </cell>
          <cell r="M29">
            <v>0</v>
          </cell>
          <cell r="N29">
            <v>0</v>
          </cell>
          <cell r="O29">
            <v>37986</v>
          </cell>
        </row>
        <row r="30">
          <cell r="A30" t="str">
            <v>AC182GV</v>
          </cell>
          <cell r="B30">
            <v>-2</v>
          </cell>
          <cell r="C30">
            <v>5</v>
          </cell>
          <cell r="D30">
            <v>12</v>
          </cell>
          <cell r="E30">
            <v>13</v>
          </cell>
          <cell r="F30">
            <v>14</v>
          </cell>
          <cell r="G30">
            <v>0</v>
          </cell>
          <cell r="H30">
            <v>0</v>
          </cell>
          <cell r="I30">
            <v>0</v>
          </cell>
          <cell r="J30">
            <v>0</v>
          </cell>
          <cell r="K30">
            <v>0</v>
          </cell>
          <cell r="L30">
            <v>0</v>
          </cell>
          <cell r="M30">
            <v>0</v>
          </cell>
          <cell r="N30">
            <v>0</v>
          </cell>
          <cell r="O30">
            <v>37986</v>
          </cell>
        </row>
        <row r="31">
          <cell r="A31" t="str">
            <v>AC182HM</v>
          </cell>
          <cell r="B31">
            <v>8052</v>
          </cell>
          <cell r="C31">
            <v>8827</v>
          </cell>
          <cell r="D31">
            <v>6168</v>
          </cell>
          <cell r="E31">
            <v>7064</v>
          </cell>
          <cell r="F31">
            <v>7551</v>
          </cell>
          <cell r="G31">
            <v>0</v>
          </cell>
          <cell r="H31">
            <v>0</v>
          </cell>
          <cell r="I31">
            <v>0</v>
          </cell>
          <cell r="J31">
            <v>0</v>
          </cell>
          <cell r="K31">
            <v>0</v>
          </cell>
          <cell r="L31">
            <v>0</v>
          </cell>
          <cell r="M31">
            <v>0</v>
          </cell>
          <cell r="N31">
            <v>0</v>
          </cell>
          <cell r="O31">
            <v>37986</v>
          </cell>
        </row>
        <row r="32">
          <cell r="A32" t="str">
            <v>AC182HR</v>
          </cell>
          <cell r="B32">
            <v>0</v>
          </cell>
          <cell r="C32">
            <v>0</v>
          </cell>
          <cell r="D32">
            <v>0</v>
          </cell>
          <cell r="E32">
            <v>0</v>
          </cell>
          <cell r="F32">
            <v>0</v>
          </cell>
          <cell r="G32">
            <v>0</v>
          </cell>
          <cell r="H32">
            <v>0</v>
          </cell>
          <cell r="I32">
            <v>0</v>
          </cell>
          <cell r="J32">
            <v>0</v>
          </cell>
          <cell r="K32">
            <v>0</v>
          </cell>
          <cell r="L32">
            <v>0</v>
          </cell>
          <cell r="M32">
            <v>0</v>
          </cell>
          <cell r="N32">
            <v>0</v>
          </cell>
          <cell r="O32">
            <v>37986</v>
          </cell>
        </row>
        <row r="33">
          <cell r="A33" t="str">
            <v>AC182HW</v>
          </cell>
          <cell r="B33">
            <v>7364</v>
          </cell>
          <cell r="C33">
            <v>7140</v>
          </cell>
          <cell r="D33">
            <v>6797</v>
          </cell>
          <cell r="E33">
            <v>5991</v>
          </cell>
          <cell r="F33">
            <v>4226</v>
          </cell>
          <cell r="G33">
            <v>0</v>
          </cell>
          <cell r="H33">
            <v>0</v>
          </cell>
          <cell r="I33">
            <v>0</v>
          </cell>
          <cell r="J33">
            <v>0</v>
          </cell>
          <cell r="K33">
            <v>0</v>
          </cell>
          <cell r="L33">
            <v>0</v>
          </cell>
          <cell r="M33">
            <v>0</v>
          </cell>
          <cell r="N33">
            <v>0</v>
          </cell>
          <cell r="O33">
            <v>37986</v>
          </cell>
        </row>
        <row r="34">
          <cell r="A34" t="str">
            <v>AC182IN</v>
          </cell>
          <cell r="B34">
            <v>0</v>
          </cell>
          <cell r="C34">
            <v>0</v>
          </cell>
          <cell r="D34">
            <v>0</v>
          </cell>
          <cell r="E34">
            <v>0</v>
          </cell>
          <cell r="F34">
            <v>0</v>
          </cell>
          <cell r="G34">
            <v>0</v>
          </cell>
          <cell r="H34">
            <v>0</v>
          </cell>
          <cell r="I34">
            <v>0</v>
          </cell>
          <cell r="J34">
            <v>0</v>
          </cell>
          <cell r="K34">
            <v>0</v>
          </cell>
          <cell r="L34">
            <v>0</v>
          </cell>
          <cell r="M34">
            <v>0</v>
          </cell>
          <cell r="N34">
            <v>0</v>
          </cell>
          <cell r="O34">
            <v>37986</v>
          </cell>
        </row>
        <row r="35">
          <cell r="A35" t="str">
            <v>AC182MN</v>
          </cell>
          <cell r="B35">
            <v>292</v>
          </cell>
          <cell r="C35">
            <v>321</v>
          </cell>
          <cell r="D35">
            <v>351</v>
          </cell>
          <cell r="E35">
            <v>380</v>
          </cell>
          <cell r="F35">
            <v>409</v>
          </cell>
          <cell r="G35">
            <v>0</v>
          </cell>
          <cell r="H35">
            <v>0</v>
          </cell>
          <cell r="I35">
            <v>0</v>
          </cell>
          <cell r="J35">
            <v>0</v>
          </cell>
          <cell r="K35">
            <v>0</v>
          </cell>
          <cell r="L35">
            <v>0</v>
          </cell>
          <cell r="M35">
            <v>0</v>
          </cell>
          <cell r="N35">
            <v>0</v>
          </cell>
          <cell r="O35">
            <v>37986</v>
          </cell>
        </row>
        <row r="36">
          <cell r="A36" t="str">
            <v>AC182PR</v>
          </cell>
          <cell r="B36">
            <v>569</v>
          </cell>
          <cell r="C36">
            <v>598</v>
          </cell>
          <cell r="D36">
            <v>627</v>
          </cell>
          <cell r="E36">
            <v>576</v>
          </cell>
          <cell r="F36">
            <v>554</v>
          </cell>
          <cell r="G36">
            <v>0</v>
          </cell>
          <cell r="H36">
            <v>0</v>
          </cell>
          <cell r="I36">
            <v>0</v>
          </cell>
          <cell r="J36">
            <v>0</v>
          </cell>
          <cell r="K36">
            <v>0</v>
          </cell>
          <cell r="L36">
            <v>0</v>
          </cell>
          <cell r="M36">
            <v>0</v>
          </cell>
          <cell r="N36">
            <v>0</v>
          </cell>
          <cell r="O36">
            <v>37986</v>
          </cell>
        </row>
        <row r="37">
          <cell r="A37" t="str">
            <v>AC182SG</v>
          </cell>
          <cell r="B37">
            <v>10</v>
          </cell>
          <cell r="C37">
            <v>11</v>
          </cell>
          <cell r="D37">
            <v>12</v>
          </cell>
          <cell r="E37">
            <v>13</v>
          </cell>
          <cell r="F37">
            <v>14</v>
          </cell>
          <cell r="G37">
            <v>0</v>
          </cell>
          <cell r="H37">
            <v>0</v>
          </cell>
          <cell r="I37">
            <v>0</v>
          </cell>
          <cell r="J37">
            <v>0</v>
          </cell>
          <cell r="K37">
            <v>0</v>
          </cell>
          <cell r="L37">
            <v>0</v>
          </cell>
          <cell r="M37">
            <v>0</v>
          </cell>
          <cell r="N37">
            <v>0</v>
          </cell>
          <cell r="O37">
            <v>37986</v>
          </cell>
        </row>
        <row r="38">
          <cell r="A38" t="str">
            <v>AC182TE</v>
          </cell>
          <cell r="B38">
            <v>0</v>
          </cell>
          <cell r="C38">
            <v>0</v>
          </cell>
          <cell r="D38">
            <v>0</v>
          </cell>
          <cell r="E38">
            <v>0</v>
          </cell>
          <cell r="F38">
            <v>0</v>
          </cell>
          <cell r="G38">
            <v>0</v>
          </cell>
          <cell r="H38">
            <v>0</v>
          </cell>
          <cell r="I38">
            <v>0</v>
          </cell>
          <cell r="J38">
            <v>0</v>
          </cell>
          <cell r="K38">
            <v>0</v>
          </cell>
          <cell r="L38">
            <v>0</v>
          </cell>
          <cell r="M38">
            <v>0</v>
          </cell>
          <cell r="N38">
            <v>0</v>
          </cell>
          <cell r="O38">
            <v>37986</v>
          </cell>
        </row>
        <row r="39">
          <cell r="A39" t="str">
            <v>AC182TR</v>
          </cell>
          <cell r="B39">
            <v>1537</v>
          </cell>
          <cell r="C39">
            <v>1657</v>
          </cell>
          <cell r="D39">
            <v>1626</v>
          </cell>
          <cell r="E39">
            <v>1715</v>
          </cell>
          <cell r="F39">
            <v>1732</v>
          </cell>
          <cell r="G39">
            <v>0</v>
          </cell>
          <cell r="H39">
            <v>0</v>
          </cell>
          <cell r="I39">
            <v>0</v>
          </cell>
          <cell r="J39">
            <v>0</v>
          </cell>
          <cell r="K39">
            <v>0</v>
          </cell>
          <cell r="L39">
            <v>0</v>
          </cell>
          <cell r="M39">
            <v>0</v>
          </cell>
          <cell r="N39">
            <v>0</v>
          </cell>
          <cell r="O39">
            <v>37986</v>
          </cell>
        </row>
        <row r="40">
          <cell r="A40" t="str">
            <v>AC182YZ</v>
          </cell>
          <cell r="B40">
            <v>0</v>
          </cell>
          <cell r="C40">
            <v>0</v>
          </cell>
          <cell r="D40">
            <v>0</v>
          </cell>
          <cell r="E40">
            <v>0</v>
          </cell>
          <cell r="F40">
            <v>0</v>
          </cell>
          <cell r="G40">
            <v>0</v>
          </cell>
          <cell r="H40">
            <v>0</v>
          </cell>
          <cell r="I40">
            <v>0</v>
          </cell>
          <cell r="J40">
            <v>0</v>
          </cell>
          <cell r="K40">
            <v>0</v>
          </cell>
          <cell r="L40">
            <v>0</v>
          </cell>
          <cell r="M40">
            <v>0</v>
          </cell>
          <cell r="N40">
            <v>0</v>
          </cell>
          <cell r="O40">
            <v>37986</v>
          </cell>
        </row>
        <row r="41">
          <cell r="A41" t="str">
            <v>AC1863E</v>
          </cell>
          <cell r="B41">
            <v>82</v>
          </cell>
          <cell r="C41">
            <v>90</v>
          </cell>
          <cell r="D41">
            <v>98</v>
          </cell>
          <cell r="E41">
            <v>106</v>
          </cell>
          <cell r="F41">
            <v>115</v>
          </cell>
          <cell r="G41">
            <v>0</v>
          </cell>
          <cell r="H41">
            <v>0</v>
          </cell>
          <cell r="I41">
            <v>0</v>
          </cell>
          <cell r="J41">
            <v>0</v>
          </cell>
          <cell r="K41">
            <v>0</v>
          </cell>
          <cell r="L41">
            <v>0</v>
          </cell>
          <cell r="M41">
            <v>0</v>
          </cell>
          <cell r="N41">
            <v>0</v>
          </cell>
          <cell r="O41">
            <v>37986</v>
          </cell>
        </row>
        <row r="42">
          <cell r="A42" t="str">
            <v>AC186DF</v>
          </cell>
          <cell r="B42">
            <v>786</v>
          </cell>
          <cell r="C42">
            <v>864</v>
          </cell>
          <cell r="D42">
            <v>943</v>
          </cell>
          <cell r="E42">
            <v>1022</v>
          </cell>
          <cell r="F42">
            <v>1100</v>
          </cell>
          <cell r="G42">
            <v>0</v>
          </cell>
          <cell r="H42">
            <v>0</v>
          </cell>
          <cell r="I42">
            <v>0</v>
          </cell>
          <cell r="J42">
            <v>0</v>
          </cell>
          <cell r="K42">
            <v>0</v>
          </cell>
          <cell r="L42">
            <v>0</v>
          </cell>
          <cell r="M42">
            <v>0</v>
          </cell>
          <cell r="N42">
            <v>0</v>
          </cell>
          <cell r="O42">
            <v>37986</v>
          </cell>
        </row>
        <row r="43">
          <cell r="A43" t="str">
            <v>AC186FC</v>
          </cell>
          <cell r="B43">
            <v>0</v>
          </cell>
          <cell r="C43">
            <v>0</v>
          </cell>
          <cell r="D43">
            <v>0</v>
          </cell>
          <cell r="E43">
            <v>0</v>
          </cell>
          <cell r="F43">
            <v>184</v>
          </cell>
          <cell r="G43">
            <v>0</v>
          </cell>
          <cell r="H43">
            <v>0</v>
          </cell>
          <cell r="I43">
            <v>0</v>
          </cell>
          <cell r="J43">
            <v>0</v>
          </cell>
          <cell r="K43">
            <v>0</v>
          </cell>
          <cell r="L43">
            <v>0</v>
          </cell>
          <cell r="M43">
            <v>0</v>
          </cell>
          <cell r="N43">
            <v>0</v>
          </cell>
          <cell r="O43">
            <v>37986</v>
          </cell>
        </row>
        <row r="44">
          <cell r="A44" t="str">
            <v>AC18903</v>
          </cell>
          <cell r="B44">
            <v>272087</v>
          </cell>
          <cell r="C44">
            <v>276210</v>
          </cell>
          <cell r="D44">
            <v>280332</v>
          </cell>
          <cell r="E44">
            <v>284455</v>
          </cell>
          <cell r="F44">
            <v>288577</v>
          </cell>
          <cell r="G44">
            <v>292700</v>
          </cell>
          <cell r="H44">
            <v>296822</v>
          </cell>
          <cell r="I44">
            <v>300945</v>
          </cell>
          <cell r="J44">
            <v>305067</v>
          </cell>
          <cell r="K44">
            <v>309190</v>
          </cell>
          <cell r="L44">
            <v>313312</v>
          </cell>
          <cell r="M44">
            <v>317435</v>
          </cell>
          <cell r="N44">
            <v>321557</v>
          </cell>
          <cell r="O44">
            <v>37986</v>
          </cell>
        </row>
        <row r="45">
          <cell r="A45" t="str">
            <v>AC190DG</v>
          </cell>
          <cell r="B45">
            <v>-1317</v>
          </cell>
          <cell r="C45">
            <v>-1215</v>
          </cell>
          <cell r="D45">
            <v>-1217</v>
          </cell>
          <cell r="E45">
            <v>-1130</v>
          </cell>
          <cell r="F45">
            <v>-770</v>
          </cell>
          <cell r="G45">
            <v>0</v>
          </cell>
          <cell r="H45">
            <v>0</v>
          </cell>
          <cell r="I45">
            <v>0</v>
          </cell>
          <cell r="J45">
            <v>0</v>
          </cell>
          <cell r="K45">
            <v>0</v>
          </cell>
          <cell r="L45">
            <v>0</v>
          </cell>
          <cell r="M45">
            <v>0</v>
          </cell>
          <cell r="N45">
            <v>0</v>
          </cell>
          <cell r="O45">
            <v>37986</v>
          </cell>
        </row>
        <row r="46">
          <cell r="A46" t="str">
            <v>AC190DK</v>
          </cell>
          <cell r="B46">
            <v>-1975</v>
          </cell>
          <cell r="C46">
            <v>-1826</v>
          </cell>
          <cell r="D46">
            <v>-1830</v>
          </cell>
          <cell r="E46">
            <v>-1704</v>
          </cell>
          <cell r="F46">
            <v>-1161</v>
          </cell>
          <cell r="G46">
            <v>0</v>
          </cell>
          <cell r="H46">
            <v>0</v>
          </cell>
          <cell r="I46">
            <v>0</v>
          </cell>
          <cell r="J46">
            <v>0</v>
          </cell>
          <cell r="K46">
            <v>0</v>
          </cell>
          <cell r="L46">
            <v>0</v>
          </cell>
          <cell r="M46">
            <v>0</v>
          </cell>
          <cell r="N46">
            <v>0</v>
          </cell>
          <cell r="O46">
            <v>37986</v>
          </cell>
        </row>
        <row r="47">
          <cell r="A47" t="str">
            <v>AC22105</v>
          </cell>
          <cell r="B47">
            <v>-15200000</v>
          </cell>
          <cell r="C47">
            <v>-15200000</v>
          </cell>
          <cell r="D47">
            <v>-16150000</v>
          </cell>
          <cell r="E47">
            <v>-16150000</v>
          </cell>
          <cell r="F47">
            <v>-16150000</v>
          </cell>
          <cell r="G47">
            <v>-16150000</v>
          </cell>
          <cell r="H47">
            <v>-16150000</v>
          </cell>
          <cell r="I47">
            <v>-16150000</v>
          </cell>
          <cell r="J47">
            <v>-16150000</v>
          </cell>
          <cell r="K47">
            <v>-16150000</v>
          </cell>
          <cell r="L47">
            <v>-16150000</v>
          </cell>
          <cell r="M47">
            <v>-16150000</v>
          </cell>
          <cell r="N47">
            <v>-16150000</v>
          </cell>
          <cell r="O47">
            <v>37986</v>
          </cell>
        </row>
        <row r="48">
          <cell r="A48" t="str">
            <v>AC22106</v>
          </cell>
          <cell r="B48">
            <v>-20000000</v>
          </cell>
          <cell r="C48">
            <v>-20000000</v>
          </cell>
          <cell r="D48">
            <v>-20000000</v>
          </cell>
          <cell r="E48">
            <v>-20000000</v>
          </cell>
          <cell r="F48">
            <v>-20000000</v>
          </cell>
          <cell r="G48">
            <v>-20000000</v>
          </cell>
          <cell r="H48">
            <v>-20000000</v>
          </cell>
          <cell r="I48">
            <v>-20000000</v>
          </cell>
          <cell r="J48">
            <v>-20000000</v>
          </cell>
          <cell r="K48">
            <v>-20000000</v>
          </cell>
          <cell r="L48">
            <v>-20000000</v>
          </cell>
          <cell r="M48">
            <v>-20000000</v>
          </cell>
          <cell r="N48">
            <v>-20000000</v>
          </cell>
          <cell r="O48">
            <v>37986</v>
          </cell>
        </row>
        <row r="49">
          <cell r="A49" t="str">
            <v>AC22107</v>
          </cell>
          <cell r="B49">
            <v>-20000000</v>
          </cell>
          <cell r="C49">
            <v>-20000000</v>
          </cell>
          <cell r="D49">
            <v>-20000000</v>
          </cell>
          <cell r="E49">
            <v>-20000000</v>
          </cell>
          <cell r="F49">
            <v>-20000000</v>
          </cell>
          <cell r="G49">
            <v>-20000000</v>
          </cell>
          <cell r="H49">
            <v>-20000000</v>
          </cell>
          <cell r="I49">
            <v>-20000000</v>
          </cell>
          <cell r="J49">
            <v>-20000000</v>
          </cell>
          <cell r="K49">
            <v>-20000000</v>
          </cell>
          <cell r="L49">
            <v>-20000000</v>
          </cell>
          <cell r="M49">
            <v>-20000000</v>
          </cell>
          <cell r="N49">
            <v>-20000000</v>
          </cell>
          <cell r="O49">
            <v>37986</v>
          </cell>
        </row>
        <row r="50">
          <cell r="A50" t="str">
            <v>AC22109</v>
          </cell>
          <cell r="B50">
            <v>-30000000</v>
          </cell>
          <cell r="C50">
            <v>-30000000</v>
          </cell>
          <cell r="D50">
            <v>-30000000</v>
          </cell>
          <cell r="E50">
            <v>-30000000</v>
          </cell>
          <cell r="F50">
            <v>-30000000</v>
          </cell>
          <cell r="G50">
            <v>-30000000</v>
          </cell>
          <cell r="H50">
            <v>-30000000</v>
          </cell>
          <cell r="I50">
            <v>-30000000</v>
          </cell>
          <cell r="J50">
            <v>-30000000</v>
          </cell>
          <cell r="K50">
            <v>-30000000</v>
          </cell>
          <cell r="L50">
            <v>-30000000</v>
          </cell>
          <cell r="M50">
            <v>-30000000</v>
          </cell>
          <cell r="N50">
            <v>-30000000</v>
          </cell>
          <cell r="O50">
            <v>37986</v>
          </cell>
        </row>
        <row r="51">
          <cell r="A51" t="str">
            <v>AC22110</v>
          </cell>
          <cell r="B51">
            <v>-50000000</v>
          </cell>
          <cell r="C51">
            <v>-50000000</v>
          </cell>
          <cell r="D51">
            <v>-50000000</v>
          </cell>
          <cell r="E51">
            <v>-50000000</v>
          </cell>
          <cell r="F51">
            <v>-50000000</v>
          </cell>
          <cell r="G51">
            <v>-50000000</v>
          </cell>
          <cell r="H51">
            <v>-50000000</v>
          </cell>
          <cell r="I51">
            <v>-50000000</v>
          </cell>
          <cell r="J51">
            <v>-50000000</v>
          </cell>
          <cell r="K51">
            <v>-50000000</v>
          </cell>
          <cell r="L51">
            <v>-50000000</v>
          </cell>
          <cell r="M51">
            <v>-50000000</v>
          </cell>
          <cell r="N51">
            <v>-50000000</v>
          </cell>
          <cell r="O51">
            <v>37986</v>
          </cell>
        </row>
        <row r="52">
          <cell r="A52" t="str">
            <v>AC22111</v>
          </cell>
          <cell r="B52">
            <v>-20000000</v>
          </cell>
          <cell r="C52">
            <v>-20000000</v>
          </cell>
          <cell r="D52">
            <v>-20000000</v>
          </cell>
          <cell r="E52">
            <v>-20000000</v>
          </cell>
          <cell r="F52">
            <v>-20000000</v>
          </cell>
          <cell r="G52">
            <v>-20000000</v>
          </cell>
          <cell r="H52">
            <v>-20000000</v>
          </cell>
          <cell r="I52">
            <v>-20000000</v>
          </cell>
          <cell r="J52">
            <v>-20000000</v>
          </cell>
          <cell r="K52">
            <v>-20000000</v>
          </cell>
          <cell r="L52">
            <v>-20000000</v>
          </cell>
          <cell r="M52">
            <v>-20000000</v>
          </cell>
          <cell r="N52">
            <v>-20000000</v>
          </cell>
          <cell r="O52">
            <v>37986</v>
          </cell>
        </row>
        <row r="53">
          <cell r="A53" t="str">
            <v>AC22198</v>
          </cell>
          <cell r="B53">
            <v>3188647</v>
          </cell>
          <cell r="C53">
            <v>3258305</v>
          </cell>
          <cell r="D53">
            <v>3327963</v>
          </cell>
          <cell r="E53">
            <v>3397621</v>
          </cell>
          <cell r="F53">
            <v>3467279</v>
          </cell>
          <cell r="G53">
            <v>3536937</v>
          </cell>
          <cell r="H53">
            <v>3606595</v>
          </cell>
          <cell r="I53">
            <v>3676253</v>
          </cell>
          <cell r="J53">
            <v>3745911</v>
          </cell>
          <cell r="K53">
            <v>3815569</v>
          </cell>
          <cell r="L53">
            <v>3884408</v>
          </cell>
          <cell r="M53">
            <v>3953248</v>
          </cell>
          <cell r="N53">
            <v>4022087</v>
          </cell>
          <cell r="O53">
            <v>37986</v>
          </cell>
        </row>
        <row r="54">
          <cell r="A54" t="str">
            <v>AC2219A</v>
          </cell>
          <cell r="B54">
            <v>950000</v>
          </cell>
          <cell r="C54">
            <v>950000</v>
          </cell>
          <cell r="D54">
            <v>950000</v>
          </cell>
          <cell r="E54">
            <v>950000</v>
          </cell>
          <cell r="F54">
            <v>950000</v>
          </cell>
          <cell r="G54">
            <v>950000</v>
          </cell>
          <cell r="H54">
            <v>950000</v>
          </cell>
          <cell r="I54">
            <v>950000</v>
          </cell>
          <cell r="J54">
            <v>950000</v>
          </cell>
          <cell r="K54">
            <v>950000</v>
          </cell>
          <cell r="L54">
            <v>950000</v>
          </cell>
          <cell r="M54">
            <v>950000</v>
          </cell>
          <cell r="N54">
            <v>950000</v>
          </cell>
          <cell r="O54">
            <v>37986</v>
          </cell>
        </row>
        <row r="55">
          <cell r="A55" t="str">
            <v>AC2219B</v>
          </cell>
          <cell r="B55">
            <v>-950000</v>
          </cell>
          <cell r="C55">
            <v>-950000</v>
          </cell>
          <cell r="D55">
            <v>-950000</v>
          </cell>
          <cell r="E55">
            <v>-950000</v>
          </cell>
          <cell r="F55">
            <v>-950000</v>
          </cell>
          <cell r="G55">
            <v>-950000</v>
          </cell>
          <cell r="H55">
            <v>-950000</v>
          </cell>
          <cell r="I55">
            <v>-950000</v>
          </cell>
          <cell r="J55">
            <v>-950000</v>
          </cell>
          <cell r="K55">
            <v>-950000</v>
          </cell>
          <cell r="L55">
            <v>-950000</v>
          </cell>
          <cell r="M55">
            <v>-950000</v>
          </cell>
          <cell r="N55">
            <v>-950000</v>
          </cell>
          <cell r="O55">
            <v>37986</v>
          </cell>
        </row>
        <row r="56">
          <cell r="A56" t="str">
            <v>AC2249A</v>
          </cell>
          <cell r="B56">
            <v>0</v>
          </cell>
          <cell r="C56">
            <v>0</v>
          </cell>
          <cell r="D56">
            <v>0</v>
          </cell>
          <cell r="E56">
            <v>0</v>
          </cell>
          <cell r="F56">
            <v>0</v>
          </cell>
          <cell r="G56">
            <v>0</v>
          </cell>
          <cell r="H56">
            <v>0</v>
          </cell>
          <cell r="I56">
            <v>0</v>
          </cell>
          <cell r="J56">
            <v>0</v>
          </cell>
          <cell r="K56">
            <v>0</v>
          </cell>
          <cell r="L56">
            <v>0</v>
          </cell>
          <cell r="M56">
            <v>0</v>
          </cell>
          <cell r="N56">
            <v>0</v>
          </cell>
          <cell r="O56">
            <v>37986</v>
          </cell>
        </row>
        <row r="57">
          <cell r="A57" t="str">
            <v>AC22610</v>
          </cell>
          <cell r="B57">
            <v>5500</v>
          </cell>
          <cell r="C57">
            <v>5775</v>
          </cell>
          <cell r="D57">
            <v>6050</v>
          </cell>
          <cell r="E57">
            <v>6325</v>
          </cell>
          <cell r="F57">
            <v>6600</v>
          </cell>
          <cell r="G57">
            <v>6875</v>
          </cell>
          <cell r="H57">
            <v>7150</v>
          </cell>
          <cell r="I57">
            <v>7425</v>
          </cell>
          <cell r="J57">
            <v>7700</v>
          </cell>
          <cell r="K57">
            <v>7975</v>
          </cell>
          <cell r="L57">
            <v>8250</v>
          </cell>
          <cell r="M57">
            <v>8525</v>
          </cell>
          <cell r="N57">
            <v>8800</v>
          </cell>
          <cell r="O57">
            <v>37986</v>
          </cell>
        </row>
        <row r="58">
          <cell r="A58" t="str">
            <v>AC22820</v>
          </cell>
          <cell r="B58">
            <v>-212</v>
          </cell>
          <cell r="C58">
            <v>-371</v>
          </cell>
          <cell r="D58">
            <v>-373</v>
          </cell>
          <cell r="E58">
            <v>-351</v>
          </cell>
          <cell r="F58">
            <v>-352</v>
          </cell>
          <cell r="G58">
            <v>0</v>
          </cell>
          <cell r="H58">
            <v>0</v>
          </cell>
          <cell r="I58">
            <v>0</v>
          </cell>
          <cell r="J58">
            <v>0</v>
          </cell>
          <cell r="K58">
            <v>0</v>
          </cell>
          <cell r="L58">
            <v>0</v>
          </cell>
          <cell r="M58">
            <v>0</v>
          </cell>
          <cell r="N58">
            <v>0</v>
          </cell>
          <cell r="O58">
            <v>37986</v>
          </cell>
        </row>
        <row r="59">
          <cell r="A59" t="str">
            <v>AC22823</v>
          </cell>
          <cell r="B59">
            <v>-833</v>
          </cell>
          <cell r="C59">
            <v>-900</v>
          </cell>
          <cell r="D59">
            <v>-978</v>
          </cell>
          <cell r="E59">
            <v>-997</v>
          </cell>
          <cell r="F59">
            <v>-1042</v>
          </cell>
          <cell r="G59">
            <v>0</v>
          </cell>
          <cell r="H59">
            <v>0</v>
          </cell>
          <cell r="I59">
            <v>0</v>
          </cell>
          <cell r="J59">
            <v>0</v>
          </cell>
          <cell r="K59">
            <v>0</v>
          </cell>
          <cell r="L59">
            <v>0</v>
          </cell>
          <cell r="M59">
            <v>0</v>
          </cell>
          <cell r="N59">
            <v>0</v>
          </cell>
          <cell r="O59">
            <v>37986</v>
          </cell>
        </row>
        <row r="60">
          <cell r="A60" t="str">
            <v>AC22830</v>
          </cell>
          <cell r="B60">
            <v>-556</v>
          </cell>
          <cell r="C60">
            <v>-556</v>
          </cell>
          <cell r="D60">
            <v>-496</v>
          </cell>
          <cell r="E60">
            <v>-476</v>
          </cell>
          <cell r="F60">
            <v>-586</v>
          </cell>
          <cell r="G60">
            <v>0</v>
          </cell>
          <cell r="H60">
            <v>0</v>
          </cell>
          <cell r="I60">
            <v>0</v>
          </cell>
          <cell r="J60">
            <v>0</v>
          </cell>
          <cell r="K60">
            <v>0</v>
          </cell>
          <cell r="L60">
            <v>0</v>
          </cell>
          <cell r="M60">
            <v>0</v>
          </cell>
          <cell r="N60">
            <v>0</v>
          </cell>
          <cell r="O60">
            <v>37986</v>
          </cell>
        </row>
        <row r="61">
          <cell r="A61" t="str">
            <v>AC22831</v>
          </cell>
          <cell r="B61">
            <v>-292</v>
          </cell>
          <cell r="C61">
            <v>-263</v>
          </cell>
          <cell r="D61">
            <v>-231</v>
          </cell>
          <cell r="E61">
            <v>-203</v>
          </cell>
          <cell r="F61">
            <v>-181</v>
          </cell>
          <cell r="G61">
            <v>0</v>
          </cell>
          <cell r="H61">
            <v>0</v>
          </cell>
          <cell r="I61">
            <v>0</v>
          </cell>
          <cell r="J61">
            <v>0</v>
          </cell>
          <cell r="K61">
            <v>0</v>
          </cell>
          <cell r="L61">
            <v>0</v>
          </cell>
          <cell r="M61">
            <v>0</v>
          </cell>
          <cell r="N61">
            <v>0</v>
          </cell>
          <cell r="O61">
            <v>37986</v>
          </cell>
        </row>
        <row r="62">
          <cell r="A62" t="str">
            <v>AC22837</v>
          </cell>
          <cell r="B62">
            <v>-972</v>
          </cell>
          <cell r="C62">
            <v>-971</v>
          </cell>
          <cell r="D62">
            <v>-970</v>
          </cell>
          <cell r="E62">
            <v>-990</v>
          </cell>
          <cell r="F62">
            <v>-1030</v>
          </cell>
          <cell r="G62">
            <v>0</v>
          </cell>
          <cell r="H62">
            <v>0</v>
          </cell>
          <cell r="I62">
            <v>0</v>
          </cell>
          <cell r="J62">
            <v>0</v>
          </cell>
          <cell r="K62">
            <v>0</v>
          </cell>
          <cell r="L62">
            <v>0</v>
          </cell>
          <cell r="M62">
            <v>0</v>
          </cell>
          <cell r="N62">
            <v>0</v>
          </cell>
          <cell r="O62">
            <v>37986</v>
          </cell>
        </row>
        <row r="63">
          <cell r="A63" t="str">
            <v>AC229SE</v>
          </cell>
          <cell r="B63">
            <v>-6028</v>
          </cell>
          <cell r="C63">
            <v>-4363</v>
          </cell>
          <cell r="D63">
            <v>-3766</v>
          </cell>
          <cell r="E63">
            <v>-2926</v>
          </cell>
          <cell r="F63">
            <v>-1970</v>
          </cell>
          <cell r="G63">
            <v>0</v>
          </cell>
          <cell r="H63">
            <v>0</v>
          </cell>
          <cell r="I63">
            <v>0</v>
          </cell>
          <cell r="J63">
            <v>0</v>
          </cell>
          <cell r="K63">
            <v>0</v>
          </cell>
          <cell r="L63">
            <v>0</v>
          </cell>
          <cell r="M63">
            <v>0</v>
          </cell>
          <cell r="N63">
            <v>0</v>
          </cell>
          <cell r="O63">
            <v>37986</v>
          </cell>
        </row>
        <row r="64">
          <cell r="A64" t="str">
            <v>AC23101</v>
          </cell>
          <cell r="B64">
            <v>-10000000</v>
          </cell>
          <cell r="C64">
            <v>-10000000</v>
          </cell>
          <cell r="D64">
            <v>-15000000</v>
          </cell>
          <cell r="E64">
            <v>0</v>
          </cell>
          <cell r="F64">
            <v>-10000000</v>
          </cell>
          <cell r="G64">
            <v>-10000000</v>
          </cell>
          <cell r="H64">
            <v>-10000000</v>
          </cell>
          <cell r="I64">
            <v>-10000000</v>
          </cell>
          <cell r="J64">
            <v>-10000000</v>
          </cell>
          <cell r="K64">
            <v>0</v>
          </cell>
          <cell r="L64">
            <v>0</v>
          </cell>
          <cell r="M64">
            <v>-40000000</v>
          </cell>
          <cell r="N64">
            <v>-40000000</v>
          </cell>
          <cell r="O64">
            <v>37986</v>
          </cell>
        </row>
        <row r="65">
          <cell r="A65" t="str">
            <v>AC23227</v>
          </cell>
          <cell r="B65">
            <v>-150</v>
          </cell>
          <cell r="C65">
            <v>-150</v>
          </cell>
          <cell r="D65">
            <v>-150</v>
          </cell>
          <cell r="E65">
            <v>-210</v>
          </cell>
          <cell r="F65">
            <v>-210</v>
          </cell>
          <cell r="G65">
            <v>0</v>
          </cell>
          <cell r="H65">
            <v>0</v>
          </cell>
          <cell r="I65">
            <v>0</v>
          </cell>
          <cell r="J65">
            <v>0</v>
          </cell>
          <cell r="K65">
            <v>0</v>
          </cell>
          <cell r="L65">
            <v>0</v>
          </cell>
          <cell r="M65">
            <v>0</v>
          </cell>
          <cell r="N65">
            <v>0</v>
          </cell>
          <cell r="O65">
            <v>37986</v>
          </cell>
        </row>
        <row r="66">
          <cell r="A66" t="str">
            <v>AC23399</v>
          </cell>
          <cell r="B66">
            <v>0</v>
          </cell>
          <cell r="C66">
            <v>0</v>
          </cell>
          <cell r="D66">
            <v>-46300000</v>
          </cell>
          <cell r="E66">
            <v>-52900000</v>
          </cell>
          <cell r="F66">
            <v>-35900000</v>
          </cell>
          <cell r="G66">
            <v>-38000000</v>
          </cell>
          <cell r="H66">
            <v>-39600000</v>
          </cell>
          <cell r="I66">
            <v>-49600000</v>
          </cell>
          <cell r="J66">
            <v>-59700000</v>
          </cell>
          <cell r="K66">
            <v>-66000000</v>
          </cell>
          <cell r="L66">
            <v>-65700000</v>
          </cell>
          <cell r="M66">
            <v>-19800000</v>
          </cell>
          <cell r="N66">
            <v>-26000000</v>
          </cell>
          <cell r="O66">
            <v>37986</v>
          </cell>
        </row>
        <row r="67">
          <cell r="A67" t="str">
            <v>AC235</v>
          </cell>
          <cell r="B67">
            <v>-1348</v>
          </cell>
          <cell r="C67">
            <v>-1172</v>
          </cell>
          <cell r="D67">
            <v>-1054</v>
          </cell>
          <cell r="E67">
            <v>-917</v>
          </cell>
          <cell r="F67">
            <v>-676</v>
          </cell>
          <cell r="G67">
            <v>0</v>
          </cell>
          <cell r="H67">
            <v>0</v>
          </cell>
          <cell r="I67">
            <v>0</v>
          </cell>
          <cell r="J67">
            <v>0</v>
          </cell>
          <cell r="K67">
            <v>0</v>
          </cell>
          <cell r="L67">
            <v>0</v>
          </cell>
          <cell r="M67">
            <v>0</v>
          </cell>
          <cell r="N67">
            <v>0</v>
          </cell>
          <cell r="O67">
            <v>37986</v>
          </cell>
        </row>
        <row r="68">
          <cell r="A68" t="str">
            <v>AC23704</v>
          </cell>
          <cell r="B68">
            <v>-258333</v>
          </cell>
          <cell r="C68">
            <v>-258333</v>
          </cell>
          <cell r="D68">
            <v>-258333</v>
          </cell>
          <cell r="E68">
            <v>-258333</v>
          </cell>
          <cell r="F68">
            <v>-258333</v>
          </cell>
          <cell r="G68">
            <v>-258333</v>
          </cell>
          <cell r="H68">
            <v>-258333</v>
          </cell>
          <cell r="I68">
            <v>-258333</v>
          </cell>
          <cell r="J68">
            <v>-258333</v>
          </cell>
          <cell r="K68">
            <v>-258333</v>
          </cell>
          <cell r="L68">
            <v>-258333</v>
          </cell>
          <cell r="M68">
            <v>-258333</v>
          </cell>
          <cell r="N68">
            <v>0</v>
          </cell>
          <cell r="O68">
            <v>37986</v>
          </cell>
        </row>
        <row r="69">
          <cell r="A69" t="str">
            <v>AC23705</v>
          </cell>
          <cell r="B69">
            <v>-127553</v>
          </cell>
          <cell r="C69">
            <v>-127553</v>
          </cell>
          <cell r="D69">
            <v>-127553</v>
          </cell>
          <cell r="E69">
            <v>-135525</v>
          </cell>
          <cell r="F69">
            <v>-135525</v>
          </cell>
          <cell r="G69">
            <v>-135525</v>
          </cell>
          <cell r="H69">
            <v>-135525</v>
          </cell>
          <cell r="I69">
            <v>-135525</v>
          </cell>
          <cell r="J69">
            <v>-135525</v>
          </cell>
          <cell r="K69">
            <v>-135525</v>
          </cell>
          <cell r="L69">
            <v>-135525</v>
          </cell>
          <cell r="M69">
            <v>-135525</v>
          </cell>
          <cell r="N69">
            <v>0</v>
          </cell>
          <cell r="O69">
            <v>37986</v>
          </cell>
        </row>
        <row r="70">
          <cell r="A70" t="str">
            <v>AC23707</v>
          </cell>
          <cell r="B70">
            <v>-141333</v>
          </cell>
          <cell r="C70">
            <v>-141333</v>
          </cell>
          <cell r="D70">
            <v>-141333</v>
          </cell>
          <cell r="E70">
            <v>-141333</v>
          </cell>
          <cell r="F70">
            <v>-141333</v>
          </cell>
          <cell r="G70">
            <v>-141333</v>
          </cell>
          <cell r="H70">
            <v>-141333</v>
          </cell>
          <cell r="I70">
            <v>-141333</v>
          </cell>
          <cell r="J70">
            <v>-141333</v>
          </cell>
          <cell r="K70">
            <v>-141333</v>
          </cell>
          <cell r="L70">
            <v>-141333</v>
          </cell>
          <cell r="M70">
            <v>-141333</v>
          </cell>
          <cell r="N70">
            <v>0</v>
          </cell>
          <cell r="O70">
            <v>37986</v>
          </cell>
        </row>
        <row r="71">
          <cell r="A71" t="str">
            <v>AC23710</v>
          </cell>
          <cell r="B71">
            <v>-179750</v>
          </cell>
          <cell r="C71">
            <v>-179750</v>
          </cell>
          <cell r="D71">
            <v>-179750</v>
          </cell>
          <cell r="E71">
            <v>-179750</v>
          </cell>
          <cell r="F71">
            <v>-179750</v>
          </cell>
          <cell r="G71">
            <v>-179750</v>
          </cell>
          <cell r="H71">
            <v>-179750</v>
          </cell>
          <cell r="I71">
            <v>-179750</v>
          </cell>
          <cell r="J71">
            <v>-179750</v>
          </cell>
          <cell r="K71">
            <v>-179750</v>
          </cell>
          <cell r="L71">
            <v>-179750</v>
          </cell>
          <cell r="M71">
            <v>-179750</v>
          </cell>
          <cell r="N71">
            <v>0</v>
          </cell>
          <cell r="O71">
            <v>37986</v>
          </cell>
        </row>
        <row r="72">
          <cell r="A72" t="str">
            <v>AC23718</v>
          </cell>
          <cell r="B72">
            <v>-143833</v>
          </cell>
          <cell r="C72">
            <v>-143833</v>
          </cell>
          <cell r="D72">
            <v>-143833</v>
          </cell>
          <cell r="E72">
            <v>-143833</v>
          </cell>
          <cell r="F72">
            <v>-143833</v>
          </cell>
          <cell r="G72">
            <v>-143833</v>
          </cell>
          <cell r="H72">
            <v>-143833</v>
          </cell>
          <cell r="I72">
            <v>-143833</v>
          </cell>
          <cell r="J72">
            <v>-143833</v>
          </cell>
          <cell r="K72">
            <v>-143833</v>
          </cell>
          <cell r="L72">
            <v>-143833</v>
          </cell>
          <cell r="M72">
            <v>-143833</v>
          </cell>
          <cell r="N72">
            <v>0</v>
          </cell>
          <cell r="O72">
            <v>37986</v>
          </cell>
        </row>
        <row r="73">
          <cell r="A73" t="str">
            <v>AC23719</v>
          </cell>
          <cell r="B73">
            <v>-112500</v>
          </cell>
          <cell r="C73">
            <v>-112500</v>
          </cell>
          <cell r="D73">
            <v>-112500</v>
          </cell>
          <cell r="E73">
            <v>-112500</v>
          </cell>
          <cell r="F73">
            <v>-112500</v>
          </cell>
          <cell r="G73">
            <v>-112500</v>
          </cell>
          <cell r="H73">
            <v>-112500</v>
          </cell>
          <cell r="I73">
            <v>-112500</v>
          </cell>
          <cell r="J73">
            <v>-112500</v>
          </cell>
          <cell r="K73">
            <v>-112500</v>
          </cell>
          <cell r="L73">
            <v>-112500</v>
          </cell>
          <cell r="M73">
            <v>-112500</v>
          </cell>
          <cell r="N73">
            <v>0</v>
          </cell>
          <cell r="O73">
            <v>37986</v>
          </cell>
        </row>
        <row r="74">
          <cell r="A74" t="str">
            <v>AC24203</v>
          </cell>
          <cell r="B74">
            <v>0</v>
          </cell>
          <cell r="C74">
            <v>0</v>
          </cell>
          <cell r="D74">
            <v>0</v>
          </cell>
          <cell r="E74">
            <v>0</v>
          </cell>
          <cell r="F74">
            <v>0</v>
          </cell>
          <cell r="G74">
            <v>0</v>
          </cell>
          <cell r="H74">
            <v>0</v>
          </cell>
          <cell r="I74">
            <v>0</v>
          </cell>
          <cell r="J74">
            <v>0</v>
          </cell>
          <cell r="K74">
            <v>0</v>
          </cell>
          <cell r="L74">
            <v>0</v>
          </cell>
          <cell r="M74">
            <v>0</v>
          </cell>
          <cell r="N74">
            <v>0</v>
          </cell>
          <cell r="O74">
            <v>37986</v>
          </cell>
        </row>
        <row r="75">
          <cell r="A75" t="str">
            <v>AC252</v>
          </cell>
          <cell r="B75">
            <v>0</v>
          </cell>
          <cell r="C75">
            <v>0</v>
          </cell>
          <cell r="D75">
            <v>0</v>
          </cell>
          <cell r="E75">
            <v>0</v>
          </cell>
          <cell r="F75">
            <v>-236</v>
          </cell>
          <cell r="G75">
            <v>0</v>
          </cell>
          <cell r="H75">
            <v>0</v>
          </cell>
          <cell r="I75">
            <v>0</v>
          </cell>
          <cell r="J75">
            <v>0</v>
          </cell>
          <cell r="K75">
            <v>0</v>
          </cell>
          <cell r="L75">
            <v>0</v>
          </cell>
          <cell r="M75">
            <v>0</v>
          </cell>
          <cell r="N75">
            <v>0</v>
          </cell>
          <cell r="O75">
            <v>37986</v>
          </cell>
        </row>
        <row r="76">
          <cell r="A76" t="str">
            <v>AC254DK</v>
          </cell>
          <cell r="B76">
            <v>3293</v>
          </cell>
          <cell r="C76">
            <v>3041</v>
          </cell>
          <cell r="D76">
            <v>3046</v>
          </cell>
          <cell r="E76">
            <v>-2250</v>
          </cell>
          <cell r="F76">
            <v>-3152</v>
          </cell>
          <cell r="G76">
            <v>0</v>
          </cell>
          <cell r="H76">
            <v>0</v>
          </cell>
          <cell r="I76">
            <v>0</v>
          </cell>
          <cell r="J76">
            <v>0</v>
          </cell>
          <cell r="K76">
            <v>0</v>
          </cell>
          <cell r="L76">
            <v>0</v>
          </cell>
          <cell r="M76">
            <v>0</v>
          </cell>
          <cell r="N76">
            <v>0</v>
          </cell>
          <cell r="O76">
            <v>37986</v>
          </cell>
        </row>
        <row r="77">
          <cell r="A77" t="str">
            <v>AC282</v>
          </cell>
          <cell r="B77">
            <v>-82357</v>
          </cell>
          <cell r="C77">
            <v>-84048</v>
          </cell>
          <cell r="D77">
            <v>-79615</v>
          </cell>
          <cell r="E77">
            <v>-77014</v>
          </cell>
          <cell r="F77">
            <v>-68270</v>
          </cell>
          <cell r="G77">
            <v>0</v>
          </cell>
          <cell r="H77">
            <v>0</v>
          </cell>
          <cell r="I77">
            <v>0</v>
          </cell>
          <cell r="J77">
            <v>0</v>
          </cell>
          <cell r="K77">
            <v>0</v>
          </cell>
          <cell r="L77">
            <v>0</v>
          </cell>
          <cell r="M77">
            <v>0</v>
          </cell>
          <cell r="N77">
            <v>0</v>
          </cell>
          <cell r="O77">
            <v>37986</v>
          </cell>
        </row>
        <row r="78">
          <cell r="A78" t="str">
            <v>AC282DK</v>
          </cell>
          <cell r="B78">
            <v>-6789</v>
          </cell>
          <cell r="C78">
            <v>-9039</v>
          </cell>
          <cell r="D78">
            <v>-8326</v>
          </cell>
          <cell r="E78">
            <v>-7611</v>
          </cell>
          <cell r="F78">
            <v>-1319</v>
          </cell>
          <cell r="G78">
            <v>0</v>
          </cell>
          <cell r="H78">
            <v>0</v>
          </cell>
          <cell r="I78">
            <v>0</v>
          </cell>
          <cell r="J78">
            <v>0</v>
          </cell>
          <cell r="K78">
            <v>0</v>
          </cell>
          <cell r="L78">
            <v>0</v>
          </cell>
          <cell r="M78">
            <v>0</v>
          </cell>
          <cell r="N78">
            <v>0</v>
          </cell>
          <cell r="O78">
            <v>37986</v>
          </cell>
        </row>
        <row r="79">
          <cell r="A79" t="str">
            <v>AC283DG</v>
          </cell>
          <cell r="B79">
            <v>-2816</v>
          </cell>
          <cell r="C79">
            <v>-4229</v>
          </cell>
          <cell r="D79">
            <v>-3503</v>
          </cell>
          <cell r="E79">
            <v>-3554</v>
          </cell>
          <cell r="F79">
            <v>638</v>
          </cell>
          <cell r="G79">
            <v>0</v>
          </cell>
          <cell r="H79">
            <v>0</v>
          </cell>
          <cell r="I79">
            <v>0</v>
          </cell>
          <cell r="J79">
            <v>0</v>
          </cell>
          <cell r="K79">
            <v>0</v>
          </cell>
          <cell r="L79">
            <v>0</v>
          </cell>
          <cell r="M79">
            <v>0</v>
          </cell>
          <cell r="N79">
            <v>0</v>
          </cell>
          <cell r="O79">
            <v>37986</v>
          </cell>
        </row>
        <row r="80">
          <cell r="A80" t="str">
            <v>AC283DK</v>
          </cell>
          <cell r="B80">
            <v>-2159</v>
          </cell>
          <cell r="C80">
            <v>-1955</v>
          </cell>
          <cell r="D80">
            <v>-1617</v>
          </cell>
          <cell r="E80">
            <v>-2406</v>
          </cell>
          <cell r="F80">
            <v>-2375</v>
          </cell>
          <cell r="G80">
            <v>0</v>
          </cell>
          <cell r="H80">
            <v>0</v>
          </cell>
          <cell r="I80">
            <v>0</v>
          </cell>
          <cell r="J80">
            <v>0</v>
          </cell>
          <cell r="K80">
            <v>0</v>
          </cell>
          <cell r="L80">
            <v>0</v>
          </cell>
          <cell r="M80">
            <v>0</v>
          </cell>
          <cell r="N80">
            <v>0</v>
          </cell>
          <cell r="O80">
            <v>37986</v>
          </cell>
        </row>
        <row r="81">
          <cell r="A81" t="str">
            <v>AC400</v>
          </cell>
          <cell r="B81">
            <v>-355540018</v>
          </cell>
          <cell r="C81">
            <v>0</v>
          </cell>
          <cell r="D81">
            <v>0</v>
          </cell>
          <cell r="E81">
            <v>0</v>
          </cell>
          <cell r="F81">
            <v>0</v>
          </cell>
          <cell r="G81">
            <v>0</v>
          </cell>
          <cell r="H81">
            <v>0</v>
          </cell>
          <cell r="I81">
            <v>0</v>
          </cell>
          <cell r="J81">
            <v>0</v>
          </cell>
          <cell r="K81">
            <v>0</v>
          </cell>
          <cell r="L81">
            <v>0</v>
          </cell>
          <cell r="M81">
            <v>0</v>
          </cell>
          <cell r="N81">
            <v>0</v>
          </cell>
          <cell r="O81">
            <v>37986</v>
          </cell>
        </row>
        <row r="82">
          <cell r="A82" t="str">
            <v>AC41121</v>
          </cell>
          <cell r="B82">
            <v>-515362</v>
          </cell>
          <cell r="C82">
            <v>0</v>
          </cell>
          <cell r="D82">
            <v>0</v>
          </cell>
          <cell r="E82">
            <v>0</v>
          </cell>
          <cell r="F82">
            <v>0</v>
          </cell>
          <cell r="G82">
            <v>0</v>
          </cell>
          <cell r="H82">
            <v>0</v>
          </cell>
          <cell r="I82">
            <v>0</v>
          </cell>
          <cell r="J82">
            <v>0</v>
          </cell>
          <cell r="K82">
            <v>0</v>
          </cell>
          <cell r="L82">
            <v>0</v>
          </cell>
          <cell r="M82">
            <v>0</v>
          </cell>
          <cell r="N82">
            <v>0</v>
          </cell>
          <cell r="O82">
            <v>37986</v>
          </cell>
        </row>
        <row r="83">
          <cell r="A83" t="str">
            <v>AC42700</v>
          </cell>
          <cell r="B83">
            <v>963303</v>
          </cell>
          <cell r="C83">
            <v>963303</v>
          </cell>
          <cell r="D83">
            <v>971275</v>
          </cell>
          <cell r="E83">
            <v>971275</v>
          </cell>
          <cell r="F83">
            <v>971275</v>
          </cell>
          <cell r="G83">
            <v>971275</v>
          </cell>
          <cell r="H83">
            <v>971275</v>
          </cell>
          <cell r="I83">
            <v>971275</v>
          </cell>
          <cell r="J83">
            <v>971275</v>
          </cell>
          <cell r="K83">
            <v>971275</v>
          </cell>
          <cell r="L83">
            <v>971275</v>
          </cell>
          <cell r="M83">
            <v>971275</v>
          </cell>
          <cell r="N83">
            <v>971275</v>
          </cell>
          <cell r="O83">
            <v>37986</v>
          </cell>
        </row>
        <row r="84">
          <cell r="A84" t="str">
            <v>AC43000</v>
          </cell>
          <cell r="B84">
            <v>54392</v>
          </cell>
          <cell r="C84">
            <v>51210</v>
          </cell>
          <cell r="D84">
            <v>39951</v>
          </cell>
          <cell r="E84">
            <v>40336</v>
          </cell>
          <cell r="F84">
            <v>15325</v>
          </cell>
          <cell r="G84">
            <v>31477</v>
          </cell>
          <cell r="H84">
            <v>44455</v>
          </cell>
          <cell r="I84">
            <v>48659</v>
          </cell>
          <cell r="J84">
            <v>57811</v>
          </cell>
          <cell r="K84">
            <v>68353</v>
          </cell>
          <cell r="L84">
            <v>57361</v>
          </cell>
          <cell r="M84">
            <v>27180</v>
          </cell>
          <cell r="N84">
            <v>31008</v>
          </cell>
          <cell r="O84">
            <v>37986</v>
          </cell>
        </row>
        <row r="85">
          <cell r="A85" t="str">
            <v>AC43101</v>
          </cell>
          <cell r="B85">
            <v>14715</v>
          </cell>
          <cell r="C85">
            <v>18332</v>
          </cell>
          <cell r="D85">
            <v>7125</v>
          </cell>
          <cell r="E85">
            <v>4781</v>
          </cell>
          <cell r="F85">
            <v>16469</v>
          </cell>
          <cell r="G85">
            <v>16094</v>
          </cell>
          <cell r="H85">
            <v>17007</v>
          </cell>
          <cell r="I85">
            <v>15526</v>
          </cell>
          <cell r="J85">
            <v>11904</v>
          </cell>
          <cell r="K85">
            <v>0</v>
          </cell>
          <cell r="L85">
            <v>10354</v>
          </cell>
          <cell r="M85">
            <v>91813</v>
          </cell>
          <cell r="N85">
            <v>88278</v>
          </cell>
          <cell r="O85">
            <v>37986</v>
          </cell>
        </row>
        <row r="86">
          <cell r="A86" t="str">
            <v>AC43103</v>
          </cell>
          <cell r="B86">
            <v>27485</v>
          </cell>
          <cell r="C86">
            <v>30866</v>
          </cell>
          <cell r="D86">
            <v>30866</v>
          </cell>
          <cell r="E86">
            <v>34859</v>
          </cell>
          <cell r="F86">
            <v>28869</v>
          </cell>
          <cell r="G86">
            <v>28869</v>
          </cell>
          <cell r="H86">
            <v>27592</v>
          </cell>
          <cell r="I86">
            <v>29508</v>
          </cell>
          <cell r="J86">
            <v>29508</v>
          </cell>
          <cell r="K86">
            <v>12402</v>
          </cell>
          <cell r="L86">
            <v>45987</v>
          </cell>
          <cell r="M86">
            <v>10510</v>
          </cell>
          <cell r="N86">
            <v>14940</v>
          </cell>
          <cell r="O86">
            <v>37986</v>
          </cell>
        </row>
        <row r="87">
          <cell r="A87" t="str">
            <v>AC43105</v>
          </cell>
          <cell r="B87">
            <v>1686</v>
          </cell>
          <cell r="C87">
            <v>1609</v>
          </cell>
          <cell r="D87">
            <v>1558</v>
          </cell>
          <cell r="E87">
            <v>1469</v>
          </cell>
          <cell r="F87">
            <v>1401</v>
          </cell>
          <cell r="G87">
            <v>1344</v>
          </cell>
          <cell r="H87">
            <v>1322</v>
          </cell>
          <cell r="I87">
            <v>1274</v>
          </cell>
          <cell r="J87">
            <v>1204</v>
          </cell>
          <cell r="K87">
            <v>-4214</v>
          </cell>
          <cell r="L87">
            <v>1701</v>
          </cell>
          <cell r="M87">
            <v>1558</v>
          </cell>
          <cell r="N87">
            <v>1358</v>
          </cell>
          <cell r="O87">
            <v>37986</v>
          </cell>
        </row>
        <row r="88">
          <cell r="A88" t="str">
            <v>AC43198</v>
          </cell>
          <cell r="B88">
            <v>0</v>
          </cell>
          <cell r="C88">
            <v>10907</v>
          </cell>
          <cell r="D88">
            <v>29105</v>
          </cell>
          <cell r="E88">
            <v>50099</v>
          </cell>
          <cell r="F88">
            <v>40193</v>
          </cell>
          <cell r="G88">
            <v>22579</v>
          </cell>
          <cell r="H88">
            <v>39674</v>
          </cell>
          <cell r="I88">
            <v>33381</v>
          </cell>
          <cell r="J88">
            <v>-249617</v>
          </cell>
          <cell r="K88">
            <v>86524</v>
          </cell>
          <cell r="L88">
            <v>39983</v>
          </cell>
          <cell r="M88">
            <v>17714</v>
          </cell>
          <cell r="N88">
            <v>7652</v>
          </cell>
          <cell r="O88">
            <v>37986</v>
          </cell>
        </row>
        <row r="89">
          <cell r="A89" t="str">
            <v>AC43199</v>
          </cell>
          <cell r="B89">
            <v>1090</v>
          </cell>
          <cell r="C89">
            <v>0</v>
          </cell>
          <cell r="D89">
            <v>-548</v>
          </cell>
          <cell r="E89">
            <v>718</v>
          </cell>
          <cell r="F89">
            <v>4293</v>
          </cell>
          <cell r="G89">
            <v>0</v>
          </cell>
          <cell r="H89">
            <v>846</v>
          </cell>
          <cell r="I89">
            <v>0</v>
          </cell>
          <cell r="J89">
            <v>94</v>
          </cell>
          <cell r="K89">
            <v>6562</v>
          </cell>
          <cell r="L89">
            <v>18047</v>
          </cell>
          <cell r="M89">
            <v>18052</v>
          </cell>
          <cell r="N89">
            <v>19699</v>
          </cell>
          <cell r="O89">
            <v>37986</v>
          </cell>
        </row>
        <row r="90">
          <cell r="A90" t="str">
            <v>ALLWROE</v>
          </cell>
          <cell r="B90">
            <v>11</v>
          </cell>
          <cell r="C90">
            <v>11</v>
          </cell>
          <cell r="D90">
            <v>11</v>
          </cell>
          <cell r="E90">
            <v>11</v>
          </cell>
          <cell r="F90">
            <v>11</v>
          </cell>
          <cell r="G90">
            <v>0</v>
          </cell>
          <cell r="H90">
            <v>0</v>
          </cell>
          <cell r="I90">
            <v>0</v>
          </cell>
          <cell r="J90">
            <v>0</v>
          </cell>
          <cell r="K90">
            <v>0</v>
          </cell>
          <cell r="L90">
            <v>0</v>
          </cell>
          <cell r="M90">
            <v>0</v>
          </cell>
          <cell r="N90">
            <v>0</v>
          </cell>
          <cell r="O90">
            <v>37986</v>
          </cell>
        </row>
        <row r="91">
          <cell r="A91" t="str">
            <v>CALCROE</v>
          </cell>
          <cell r="B91">
            <v>0</v>
          </cell>
          <cell r="C91">
            <v>0</v>
          </cell>
          <cell r="D91">
            <v>11.35658207047654</v>
          </cell>
          <cell r="E91">
            <v>0</v>
          </cell>
          <cell r="F91">
            <v>11.417244796828545</v>
          </cell>
          <cell r="G91">
            <v>0</v>
          </cell>
          <cell r="H91">
            <v>0</v>
          </cell>
          <cell r="I91">
            <v>0</v>
          </cell>
          <cell r="J91">
            <v>0</v>
          </cell>
          <cell r="K91">
            <v>0</v>
          </cell>
          <cell r="L91">
            <v>0</v>
          </cell>
          <cell r="M91">
            <v>0</v>
          </cell>
          <cell r="N91">
            <v>0</v>
          </cell>
          <cell r="O91">
            <v>37986</v>
          </cell>
        </row>
        <row r="92">
          <cell r="A92" t="str">
            <v>EFFTXRT</v>
          </cell>
          <cell r="B92">
            <v>40.85</v>
          </cell>
          <cell r="C92">
            <v>40.85</v>
          </cell>
          <cell r="D92">
            <v>40.85</v>
          </cell>
          <cell r="E92">
            <v>40.85</v>
          </cell>
          <cell r="F92">
            <v>39.875</v>
          </cell>
          <cell r="G92">
            <v>0</v>
          </cell>
          <cell r="H92">
            <v>0</v>
          </cell>
          <cell r="I92">
            <v>0</v>
          </cell>
          <cell r="J92">
            <v>0</v>
          </cell>
          <cell r="K92">
            <v>0</v>
          </cell>
          <cell r="L92">
            <v>0</v>
          </cell>
          <cell r="M92">
            <v>0</v>
          </cell>
          <cell r="N92">
            <v>0</v>
          </cell>
          <cell r="O92">
            <v>37986</v>
          </cell>
        </row>
        <row r="93">
          <cell r="A93" t="str">
            <v>GWADJ</v>
          </cell>
          <cell r="B93">
            <v>0</v>
          </cell>
          <cell r="C93">
            <v>0</v>
          </cell>
          <cell r="D93">
            <v>0</v>
          </cell>
          <cell r="E93">
            <v>0</v>
          </cell>
          <cell r="F93">
            <v>0</v>
          </cell>
          <cell r="G93">
            <v>0</v>
          </cell>
          <cell r="H93">
            <v>0</v>
          </cell>
          <cell r="I93">
            <v>0</v>
          </cell>
          <cell r="J93">
            <v>0</v>
          </cell>
          <cell r="K93">
            <v>0</v>
          </cell>
          <cell r="L93">
            <v>0</v>
          </cell>
          <cell r="M93">
            <v>0</v>
          </cell>
          <cell r="N93">
            <v>0</v>
          </cell>
          <cell r="O93">
            <v>37986</v>
          </cell>
        </row>
        <row r="94">
          <cell r="A94" t="str">
            <v>IS1000</v>
          </cell>
          <cell r="B94">
            <v>22229</v>
          </cell>
          <cell r="C94">
            <v>0</v>
          </cell>
          <cell r="D94">
            <v>0</v>
          </cell>
          <cell r="E94">
            <v>0</v>
          </cell>
          <cell r="F94">
            <v>0</v>
          </cell>
          <cell r="G94">
            <v>0</v>
          </cell>
          <cell r="H94">
            <v>0</v>
          </cell>
          <cell r="I94">
            <v>0</v>
          </cell>
          <cell r="J94">
            <v>0</v>
          </cell>
          <cell r="K94">
            <v>0</v>
          </cell>
          <cell r="L94">
            <v>0</v>
          </cell>
          <cell r="M94">
            <v>0</v>
          </cell>
          <cell r="N94">
            <v>0</v>
          </cell>
          <cell r="O94">
            <v>37986</v>
          </cell>
        </row>
        <row r="95">
          <cell r="A95" t="str">
            <v>IS1200</v>
          </cell>
          <cell r="B95">
            <v>880</v>
          </cell>
          <cell r="C95">
            <v>0</v>
          </cell>
          <cell r="D95">
            <v>0</v>
          </cell>
          <cell r="E95">
            <v>0</v>
          </cell>
          <cell r="F95">
            <v>0</v>
          </cell>
          <cell r="G95">
            <v>0</v>
          </cell>
          <cell r="H95">
            <v>0</v>
          </cell>
          <cell r="I95">
            <v>0</v>
          </cell>
          <cell r="J95">
            <v>0</v>
          </cell>
          <cell r="K95">
            <v>0</v>
          </cell>
          <cell r="L95">
            <v>0</v>
          </cell>
          <cell r="M95">
            <v>0</v>
          </cell>
          <cell r="N95">
            <v>0</v>
          </cell>
          <cell r="O95">
            <v>37986</v>
          </cell>
        </row>
        <row r="96">
          <cell r="A96" t="str">
            <v>IS1400</v>
          </cell>
          <cell r="B96">
            <v>-3347</v>
          </cell>
          <cell r="C96">
            <v>0</v>
          </cell>
          <cell r="D96">
            <v>0</v>
          </cell>
          <cell r="E96">
            <v>0</v>
          </cell>
          <cell r="F96">
            <v>0</v>
          </cell>
          <cell r="G96">
            <v>0</v>
          </cell>
          <cell r="H96">
            <v>0</v>
          </cell>
          <cell r="I96">
            <v>0</v>
          </cell>
          <cell r="J96">
            <v>0</v>
          </cell>
          <cell r="K96">
            <v>0</v>
          </cell>
          <cell r="L96">
            <v>0</v>
          </cell>
          <cell r="M96">
            <v>0</v>
          </cell>
          <cell r="N96">
            <v>0</v>
          </cell>
          <cell r="O96">
            <v>37986</v>
          </cell>
        </row>
        <row r="97">
          <cell r="A97" t="str">
            <v>IS1500</v>
          </cell>
          <cell r="B97">
            <v>15637</v>
          </cell>
          <cell r="C97">
            <v>0</v>
          </cell>
          <cell r="D97">
            <v>0</v>
          </cell>
          <cell r="E97">
            <v>0</v>
          </cell>
          <cell r="F97">
            <v>0</v>
          </cell>
          <cell r="G97">
            <v>0</v>
          </cell>
          <cell r="H97">
            <v>0</v>
          </cell>
          <cell r="I97">
            <v>0</v>
          </cell>
          <cell r="J97">
            <v>0</v>
          </cell>
          <cell r="K97">
            <v>0</v>
          </cell>
          <cell r="L97">
            <v>0</v>
          </cell>
          <cell r="M97">
            <v>0</v>
          </cell>
          <cell r="N97">
            <v>0</v>
          </cell>
          <cell r="O97">
            <v>37986</v>
          </cell>
        </row>
        <row r="98">
          <cell r="A98" t="str">
            <v>IS1600</v>
          </cell>
          <cell r="B98">
            <v>-4247</v>
          </cell>
          <cell r="C98">
            <v>0</v>
          </cell>
          <cell r="D98">
            <v>0</v>
          </cell>
          <cell r="E98">
            <v>0</v>
          </cell>
          <cell r="F98">
            <v>0</v>
          </cell>
          <cell r="G98">
            <v>0</v>
          </cell>
          <cell r="H98">
            <v>0</v>
          </cell>
          <cell r="I98">
            <v>0</v>
          </cell>
          <cell r="J98">
            <v>0</v>
          </cell>
          <cell r="K98">
            <v>0</v>
          </cell>
          <cell r="L98">
            <v>0</v>
          </cell>
          <cell r="M98">
            <v>0</v>
          </cell>
          <cell r="N98">
            <v>0</v>
          </cell>
          <cell r="O98">
            <v>37986</v>
          </cell>
        </row>
        <row r="99">
          <cell r="A99" t="str">
            <v>IS1700</v>
          </cell>
          <cell r="B99">
            <v>-377</v>
          </cell>
          <cell r="C99">
            <v>0</v>
          </cell>
          <cell r="D99">
            <v>0</v>
          </cell>
          <cell r="E99">
            <v>0</v>
          </cell>
          <cell r="F99">
            <v>0</v>
          </cell>
          <cell r="G99">
            <v>0</v>
          </cell>
          <cell r="H99">
            <v>0</v>
          </cell>
          <cell r="I99">
            <v>0</v>
          </cell>
          <cell r="J99">
            <v>0</v>
          </cell>
          <cell r="K99">
            <v>0</v>
          </cell>
          <cell r="L99">
            <v>0</v>
          </cell>
          <cell r="M99">
            <v>0</v>
          </cell>
          <cell r="N99">
            <v>0</v>
          </cell>
          <cell r="O99">
            <v>37986</v>
          </cell>
        </row>
        <row r="100">
          <cell r="A100" t="str">
            <v>IS1800</v>
          </cell>
          <cell r="B100">
            <v>16042</v>
          </cell>
          <cell r="C100">
            <v>0</v>
          </cell>
          <cell r="D100">
            <v>0</v>
          </cell>
          <cell r="E100">
            <v>0</v>
          </cell>
          <cell r="F100">
            <v>0</v>
          </cell>
          <cell r="G100">
            <v>0</v>
          </cell>
          <cell r="H100">
            <v>0</v>
          </cell>
          <cell r="I100">
            <v>0</v>
          </cell>
          <cell r="J100">
            <v>0</v>
          </cell>
          <cell r="K100">
            <v>0</v>
          </cell>
          <cell r="L100">
            <v>0</v>
          </cell>
          <cell r="M100">
            <v>0</v>
          </cell>
          <cell r="N100">
            <v>0</v>
          </cell>
          <cell r="O100">
            <v>37986</v>
          </cell>
        </row>
        <row r="101">
          <cell r="A101" t="str">
            <v>IS1900</v>
          </cell>
          <cell r="B101">
            <v>8350</v>
          </cell>
          <cell r="C101">
            <v>0</v>
          </cell>
          <cell r="D101">
            <v>0</v>
          </cell>
          <cell r="E101">
            <v>0</v>
          </cell>
          <cell r="F101">
            <v>0</v>
          </cell>
          <cell r="G101">
            <v>0</v>
          </cell>
          <cell r="H101">
            <v>0</v>
          </cell>
          <cell r="I101">
            <v>0</v>
          </cell>
          <cell r="J101">
            <v>0</v>
          </cell>
          <cell r="K101">
            <v>0</v>
          </cell>
          <cell r="L101">
            <v>0</v>
          </cell>
          <cell r="M101">
            <v>0</v>
          </cell>
          <cell r="N101">
            <v>0</v>
          </cell>
          <cell r="O101">
            <v>37986</v>
          </cell>
        </row>
        <row r="102">
          <cell r="A102" t="str">
            <v>IS2000</v>
          </cell>
          <cell r="B102">
            <v>-515</v>
          </cell>
          <cell r="C102">
            <v>0</v>
          </cell>
          <cell r="D102">
            <v>0</v>
          </cell>
          <cell r="E102">
            <v>0</v>
          </cell>
          <cell r="F102">
            <v>0</v>
          </cell>
          <cell r="G102">
            <v>0</v>
          </cell>
          <cell r="H102">
            <v>0</v>
          </cell>
          <cell r="I102">
            <v>0</v>
          </cell>
          <cell r="J102">
            <v>0</v>
          </cell>
          <cell r="K102">
            <v>0</v>
          </cell>
          <cell r="L102">
            <v>0</v>
          </cell>
          <cell r="M102">
            <v>0</v>
          </cell>
          <cell r="N102">
            <v>0</v>
          </cell>
          <cell r="O102">
            <v>37986</v>
          </cell>
        </row>
        <row r="103">
          <cell r="A103" t="str">
            <v>IS2100</v>
          </cell>
          <cell r="B103">
            <v>327700</v>
          </cell>
          <cell r="C103">
            <v>0</v>
          </cell>
          <cell r="D103">
            <v>0</v>
          </cell>
          <cell r="E103">
            <v>0</v>
          </cell>
          <cell r="F103">
            <v>0</v>
          </cell>
          <cell r="G103">
            <v>0</v>
          </cell>
          <cell r="H103">
            <v>0</v>
          </cell>
          <cell r="I103">
            <v>0</v>
          </cell>
          <cell r="J103">
            <v>0</v>
          </cell>
          <cell r="K103">
            <v>0</v>
          </cell>
          <cell r="L103">
            <v>0</v>
          </cell>
          <cell r="M103">
            <v>0</v>
          </cell>
          <cell r="N103">
            <v>0</v>
          </cell>
          <cell r="O103">
            <v>37986</v>
          </cell>
        </row>
        <row r="104">
          <cell r="A104" t="str">
            <v>IS2200</v>
          </cell>
          <cell r="B104">
            <v>-27840</v>
          </cell>
          <cell r="C104">
            <v>0</v>
          </cell>
          <cell r="D104">
            <v>0</v>
          </cell>
          <cell r="E104">
            <v>0</v>
          </cell>
          <cell r="F104">
            <v>0</v>
          </cell>
          <cell r="G104">
            <v>0</v>
          </cell>
          <cell r="H104">
            <v>0</v>
          </cell>
          <cell r="I104">
            <v>0</v>
          </cell>
          <cell r="J104">
            <v>0</v>
          </cell>
          <cell r="K104">
            <v>0</v>
          </cell>
          <cell r="L104">
            <v>0</v>
          </cell>
          <cell r="M104">
            <v>0</v>
          </cell>
          <cell r="N104">
            <v>0</v>
          </cell>
          <cell r="O104">
            <v>37986</v>
          </cell>
        </row>
        <row r="105">
          <cell r="A105" t="str">
            <v>IS2400</v>
          </cell>
          <cell r="B105">
            <v>-116</v>
          </cell>
          <cell r="C105">
            <v>0</v>
          </cell>
          <cell r="D105">
            <v>0</v>
          </cell>
          <cell r="E105">
            <v>0</v>
          </cell>
          <cell r="F105">
            <v>0</v>
          </cell>
          <cell r="G105">
            <v>0</v>
          </cell>
          <cell r="H105">
            <v>0</v>
          </cell>
          <cell r="I105">
            <v>0</v>
          </cell>
          <cell r="J105">
            <v>0</v>
          </cell>
          <cell r="K105">
            <v>0</v>
          </cell>
          <cell r="L105">
            <v>0</v>
          </cell>
          <cell r="M105">
            <v>0</v>
          </cell>
          <cell r="N105">
            <v>0</v>
          </cell>
          <cell r="O105">
            <v>37986</v>
          </cell>
        </row>
        <row r="106">
          <cell r="A106" t="str">
            <v>IS2800</v>
          </cell>
          <cell r="B106">
            <v>1776</v>
          </cell>
          <cell r="C106">
            <v>0</v>
          </cell>
          <cell r="D106">
            <v>0</v>
          </cell>
          <cell r="E106">
            <v>0</v>
          </cell>
          <cell r="F106">
            <v>0</v>
          </cell>
          <cell r="G106">
            <v>0</v>
          </cell>
          <cell r="H106">
            <v>0</v>
          </cell>
          <cell r="I106">
            <v>0</v>
          </cell>
          <cell r="J106">
            <v>0</v>
          </cell>
          <cell r="K106">
            <v>0</v>
          </cell>
          <cell r="L106">
            <v>0</v>
          </cell>
          <cell r="M106">
            <v>0</v>
          </cell>
          <cell r="N106">
            <v>0</v>
          </cell>
          <cell r="O106">
            <v>37986</v>
          </cell>
        </row>
        <row r="107">
          <cell r="A107" t="str">
            <v>IS2900</v>
          </cell>
          <cell r="B107">
            <v>-1728</v>
          </cell>
          <cell r="C107">
            <v>0</v>
          </cell>
          <cell r="D107">
            <v>0</v>
          </cell>
          <cell r="E107">
            <v>0</v>
          </cell>
          <cell r="F107">
            <v>0</v>
          </cell>
          <cell r="G107">
            <v>0</v>
          </cell>
          <cell r="H107">
            <v>0</v>
          </cell>
          <cell r="I107">
            <v>0</v>
          </cell>
          <cell r="J107">
            <v>0</v>
          </cell>
          <cell r="K107">
            <v>0</v>
          </cell>
          <cell r="L107">
            <v>0</v>
          </cell>
          <cell r="M107">
            <v>0</v>
          </cell>
          <cell r="N107">
            <v>0</v>
          </cell>
          <cell r="O107">
            <v>37986</v>
          </cell>
        </row>
        <row r="108">
          <cell r="A108" t="str">
            <v>IS3000</v>
          </cell>
          <cell r="B108">
            <v>-123</v>
          </cell>
          <cell r="C108">
            <v>0</v>
          </cell>
          <cell r="D108">
            <v>0</v>
          </cell>
          <cell r="E108">
            <v>0</v>
          </cell>
          <cell r="F108">
            <v>0</v>
          </cell>
          <cell r="G108">
            <v>0</v>
          </cell>
          <cell r="H108">
            <v>0</v>
          </cell>
          <cell r="I108">
            <v>0</v>
          </cell>
          <cell r="J108">
            <v>0</v>
          </cell>
          <cell r="K108">
            <v>0</v>
          </cell>
          <cell r="L108">
            <v>0</v>
          </cell>
          <cell r="M108">
            <v>0</v>
          </cell>
          <cell r="N108">
            <v>0</v>
          </cell>
          <cell r="O108">
            <v>37986</v>
          </cell>
        </row>
        <row r="109">
          <cell r="A109" t="str">
            <v>IS3400</v>
          </cell>
          <cell r="B109">
            <v>11639</v>
          </cell>
          <cell r="C109">
            <v>0</v>
          </cell>
          <cell r="D109">
            <v>0</v>
          </cell>
          <cell r="E109">
            <v>0</v>
          </cell>
          <cell r="F109">
            <v>0</v>
          </cell>
          <cell r="G109">
            <v>0</v>
          </cell>
          <cell r="H109">
            <v>0</v>
          </cell>
          <cell r="I109">
            <v>0</v>
          </cell>
          <cell r="J109">
            <v>0</v>
          </cell>
          <cell r="K109">
            <v>0</v>
          </cell>
          <cell r="L109">
            <v>0</v>
          </cell>
          <cell r="M109">
            <v>0</v>
          </cell>
          <cell r="N109">
            <v>0</v>
          </cell>
          <cell r="O109">
            <v>37986</v>
          </cell>
        </row>
        <row r="110">
          <cell r="A110" t="str">
            <v>IS3500</v>
          </cell>
          <cell r="B110">
            <v>965</v>
          </cell>
          <cell r="C110">
            <v>0</v>
          </cell>
          <cell r="D110">
            <v>0</v>
          </cell>
          <cell r="E110">
            <v>0</v>
          </cell>
          <cell r="F110">
            <v>0</v>
          </cell>
          <cell r="G110">
            <v>0</v>
          </cell>
          <cell r="H110">
            <v>0</v>
          </cell>
          <cell r="I110">
            <v>0</v>
          </cell>
          <cell r="J110">
            <v>0</v>
          </cell>
          <cell r="K110">
            <v>0</v>
          </cell>
          <cell r="L110">
            <v>0</v>
          </cell>
          <cell r="M110">
            <v>0</v>
          </cell>
          <cell r="N110">
            <v>0</v>
          </cell>
          <cell r="O110">
            <v>37986</v>
          </cell>
        </row>
        <row r="111">
          <cell r="A111" t="str">
            <v>IS3600</v>
          </cell>
          <cell r="B111">
            <v>537</v>
          </cell>
          <cell r="C111">
            <v>0</v>
          </cell>
          <cell r="D111">
            <v>0</v>
          </cell>
          <cell r="E111">
            <v>0</v>
          </cell>
          <cell r="F111">
            <v>0</v>
          </cell>
          <cell r="G111">
            <v>0</v>
          </cell>
          <cell r="H111">
            <v>0</v>
          </cell>
          <cell r="I111">
            <v>0</v>
          </cell>
          <cell r="J111">
            <v>0</v>
          </cell>
          <cell r="K111">
            <v>0</v>
          </cell>
          <cell r="L111">
            <v>0</v>
          </cell>
          <cell r="M111">
            <v>0</v>
          </cell>
          <cell r="N111">
            <v>0</v>
          </cell>
          <cell r="O111">
            <v>37986</v>
          </cell>
        </row>
        <row r="112">
          <cell r="A112" t="str">
            <v>IS3700</v>
          </cell>
          <cell r="B112">
            <v>561</v>
          </cell>
          <cell r="C112">
            <v>0</v>
          </cell>
          <cell r="D112">
            <v>0</v>
          </cell>
          <cell r="E112">
            <v>0</v>
          </cell>
          <cell r="F112">
            <v>0</v>
          </cell>
          <cell r="G112">
            <v>0</v>
          </cell>
          <cell r="H112">
            <v>0</v>
          </cell>
          <cell r="I112">
            <v>0</v>
          </cell>
          <cell r="J112">
            <v>0</v>
          </cell>
          <cell r="K112">
            <v>0</v>
          </cell>
          <cell r="L112">
            <v>0</v>
          </cell>
          <cell r="M112">
            <v>0</v>
          </cell>
          <cell r="N112">
            <v>0</v>
          </cell>
          <cell r="O112">
            <v>37986</v>
          </cell>
        </row>
        <row r="113">
          <cell r="A113" t="str">
            <v>IS3800</v>
          </cell>
          <cell r="B113">
            <v>182</v>
          </cell>
          <cell r="C113">
            <v>0</v>
          </cell>
          <cell r="D113">
            <v>0</v>
          </cell>
          <cell r="E113">
            <v>0</v>
          </cell>
          <cell r="F113">
            <v>0</v>
          </cell>
          <cell r="G113">
            <v>0</v>
          </cell>
          <cell r="H113">
            <v>0</v>
          </cell>
          <cell r="I113">
            <v>0</v>
          </cell>
          <cell r="J113">
            <v>0</v>
          </cell>
          <cell r="K113">
            <v>0</v>
          </cell>
          <cell r="L113">
            <v>0</v>
          </cell>
          <cell r="M113">
            <v>0</v>
          </cell>
          <cell r="N113">
            <v>0</v>
          </cell>
          <cell r="O113">
            <v>37986</v>
          </cell>
        </row>
        <row r="114">
          <cell r="A114" t="str">
            <v>IS3900</v>
          </cell>
          <cell r="B114">
            <v>-693</v>
          </cell>
          <cell r="C114">
            <v>0</v>
          </cell>
          <cell r="D114">
            <v>0</v>
          </cell>
          <cell r="E114">
            <v>0</v>
          </cell>
          <cell r="F114">
            <v>0</v>
          </cell>
          <cell r="G114">
            <v>0</v>
          </cell>
          <cell r="H114">
            <v>0</v>
          </cell>
          <cell r="I114">
            <v>0</v>
          </cell>
          <cell r="J114">
            <v>0</v>
          </cell>
          <cell r="K114">
            <v>0</v>
          </cell>
          <cell r="L114">
            <v>0</v>
          </cell>
          <cell r="M114">
            <v>0</v>
          </cell>
          <cell r="N114">
            <v>0</v>
          </cell>
          <cell r="O114">
            <v>37986</v>
          </cell>
        </row>
        <row r="115">
          <cell r="A115" t="str">
            <v>IS400</v>
          </cell>
          <cell r="B115">
            <v>-355540</v>
          </cell>
          <cell r="C115">
            <v>0</v>
          </cell>
          <cell r="D115">
            <v>0</v>
          </cell>
          <cell r="E115">
            <v>0</v>
          </cell>
          <cell r="F115">
            <v>0</v>
          </cell>
          <cell r="G115">
            <v>0</v>
          </cell>
          <cell r="H115">
            <v>0</v>
          </cell>
          <cell r="I115">
            <v>0</v>
          </cell>
          <cell r="J115">
            <v>0</v>
          </cell>
          <cell r="K115">
            <v>0</v>
          </cell>
          <cell r="L115">
            <v>0</v>
          </cell>
          <cell r="M115">
            <v>0</v>
          </cell>
          <cell r="N115">
            <v>0</v>
          </cell>
          <cell r="O115">
            <v>37986</v>
          </cell>
        </row>
        <row r="116">
          <cell r="A116" t="str">
            <v>IS4310</v>
          </cell>
          <cell r="B116">
            <v>-14838</v>
          </cell>
          <cell r="C116">
            <v>0</v>
          </cell>
          <cell r="D116">
            <v>0</v>
          </cell>
          <cell r="E116">
            <v>0</v>
          </cell>
          <cell r="F116">
            <v>0</v>
          </cell>
          <cell r="G116">
            <v>0</v>
          </cell>
          <cell r="H116">
            <v>0</v>
          </cell>
          <cell r="I116">
            <v>0</v>
          </cell>
          <cell r="J116">
            <v>0</v>
          </cell>
          <cell r="K116">
            <v>0</v>
          </cell>
          <cell r="L116">
            <v>0</v>
          </cell>
          <cell r="M116">
            <v>0</v>
          </cell>
          <cell r="N116">
            <v>0</v>
          </cell>
          <cell r="O116">
            <v>37986</v>
          </cell>
        </row>
        <row r="117">
          <cell r="A117" t="str">
            <v>IS610</v>
          </cell>
          <cell r="B117">
            <v>206079</v>
          </cell>
          <cell r="C117">
            <v>0</v>
          </cell>
          <cell r="D117">
            <v>0</v>
          </cell>
          <cell r="E117">
            <v>0</v>
          </cell>
          <cell r="F117">
            <v>0</v>
          </cell>
          <cell r="G117">
            <v>0</v>
          </cell>
          <cell r="H117">
            <v>0</v>
          </cell>
          <cell r="I117">
            <v>0</v>
          </cell>
          <cell r="J117">
            <v>0</v>
          </cell>
          <cell r="K117">
            <v>0</v>
          </cell>
          <cell r="L117">
            <v>0</v>
          </cell>
          <cell r="M117">
            <v>0</v>
          </cell>
          <cell r="N117">
            <v>0</v>
          </cell>
          <cell r="O117">
            <v>37986</v>
          </cell>
        </row>
        <row r="118">
          <cell r="A118" t="str">
            <v>IS800</v>
          </cell>
          <cell r="B118">
            <v>58113</v>
          </cell>
          <cell r="C118">
            <v>0</v>
          </cell>
          <cell r="D118">
            <v>0</v>
          </cell>
          <cell r="E118">
            <v>0</v>
          </cell>
          <cell r="F118">
            <v>0</v>
          </cell>
          <cell r="G118">
            <v>0</v>
          </cell>
          <cell r="H118">
            <v>0</v>
          </cell>
          <cell r="I118">
            <v>0</v>
          </cell>
          <cell r="J118">
            <v>0</v>
          </cell>
          <cell r="K118">
            <v>0</v>
          </cell>
          <cell r="L118">
            <v>0</v>
          </cell>
          <cell r="M118">
            <v>0</v>
          </cell>
          <cell r="N118">
            <v>0</v>
          </cell>
          <cell r="O118">
            <v>37986</v>
          </cell>
        </row>
        <row r="119">
          <cell r="A119" t="str">
            <v>IS900</v>
          </cell>
          <cell r="B119">
            <v>8855</v>
          </cell>
          <cell r="C119">
            <v>0</v>
          </cell>
          <cell r="D119">
            <v>0</v>
          </cell>
          <cell r="E119">
            <v>0</v>
          </cell>
          <cell r="F119">
            <v>0</v>
          </cell>
          <cell r="G119">
            <v>0</v>
          </cell>
          <cell r="H119">
            <v>0</v>
          </cell>
          <cell r="I119">
            <v>0</v>
          </cell>
          <cell r="J119">
            <v>0</v>
          </cell>
          <cell r="K119">
            <v>0</v>
          </cell>
          <cell r="L119">
            <v>0</v>
          </cell>
          <cell r="M119">
            <v>0</v>
          </cell>
          <cell r="N119">
            <v>0</v>
          </cell>
          <cell r="O119">
            <v>37986</v>
          </cell>
        </row>
        <row r="120">
          <cell r="A120" t="str">
            <v>LLDAYS</v>
          </cell>
          <cell r="B120">
            <v>10.73</v>
          </cell>
          <cell r="C120">
            <v>10.73</v>
          </cell>
          <cell r="D120">
            <v>10.73</v>
          </cell>
          <cell r="E120">
            <v>10.73</v>
          </cell>
          <cell r="F120">
            <v>10.73</v>
          </cell>
          <cell r="G120">
            <v>0</v>
          </cell>
          <cell r="H120">
            <v>0</v>
          </cell>
          <cell r="I120">
            <v>0</v>
          </cell>
          <cell r="J120">
            <v>0</v>
          </cell>
          <cell r="K120">
            <v>0</v>
          </cell>
          <cell r="L120">
            <v>0</v>
          </cell>
          <cell r="M120">
            <v>0</v>
          </cell>
          <cell r="N120">
            <v>0</v>
          </cell>
          <cell r="O120">
            <v>37986</v>
          </cell>
        </row>
        <row r="121">
          <cell r="A121" t="str">
            <v>LTD</v>
          </cell>
          <cell r="B121">
            <v>0</v>
          </cell>
          <cell r="C121">
            <v>0</v>
          </cell>
          <cell r="D121">
            <v>-155185</v>
          </cell>
          <cell r="E121">
            <v>0</v>
          </cell>
          <cell r="F121">
            <v>-155149</v>
          </cell>
          <cell r="G121">
            <v>0</v>
          </cell>
          <cell r="H121">
            <v>0</v>
          </cell>
          <cell r="I121">
            <v>0</v>
          </cell>
          <cell r="J121">
            <v>0</v>
          </cell>
          <cell r="K121">
            <v>0</v>
          </cell>
          <cell r="L121">
            <v>0</v>
          </cell>
          <cell r="M121">
            <v>0</v>
          </cell>
          <cell r="N121">
            <v>0</v>
          </cell>
          <cell r="O121">
            <v>37986</v>
          </cell>
        </row>
        <row r="122">
          <cell r="A122" t="str">
            <v>MSTOT</v>
          </cell>
          <cell r="B122">
            <v>2250</v>
          </cell>
          <cell r="C122">
            <v>2279</v>
          </cell>
          <cell r="D122">
            <v>2446</v>
          </cell>
          <cell r="E122">
            <v>2228</v>
          </cell>
          <cell r="F122">
            <v>2304</v>
          </cell>
          <cell r="G122">
            <v>0</v>
          </cell>
          <cell r="H122">
            <v>0</v>
          </cell>
          <cell r="I122">
            <v>0</v>
          </cell>
          <cell r="J122">
            <v>0</v>
          </cell>
          <cell r="K122">
            <v>0</v>
          </cell>
          <cell r="L122">
            <v>0</v>
          </cell>
          <cell r="M122">
            <v>0</v>
          </cell>
          <cell r="N122">
            <v>0</v>
          </cell>
          <cell r="O122">
            <v>37986</v>
          </cell>
        </row>
        <row r="123">
          <cell r="A123" t="str">
            <v>OPIADJ</v>
          </cell>
          <cell r="B123">
            <v>0</v>
          </cell>
          <cell r="C123">
            <v>0</v>
          </cell>
          <cell r="D123">
            <v>0</v>
          </cell>
          <cell r="E123">
            <v>0</v>
          </cell>
          <cell r="F123">
            <v>0</v>
          </cell>
          <cell r="G123">
            <v>0</v>
          </cell>
          <cell r="H123">
            <v>0</v>
          </cell>
          <cell r="I123">
            <v>0</v>
          </cell>
          <cell r="J123">
            <v>0</v>
          </cell>
          <cell r="K123">
            <v>0</v>
          </cell>
          <cell r="L123">
            <v>0</v>
          </cell>
          <cell r="M123">
            <v>0</v>
          </cell>
          <cell r="N123">
            <v>0</v>
          </cell>
          <cell r="O123">
            <v>37986</v>
          </cell>
        </row>
        <row r="124">
          <cell r="A124" t="str">
            <v>PROMON</v>
          </cell>
          <cell r="B124">
            <v>13</v>
          </cell>
          <cell r="C124">
            <v>13</v>
          </cell>
          <cell r="D124">
            <v>13</v>
          </cell>
          <cell r="E124">
            <v>13</v>
          </cell>
          <cell r="F124">
            <v>9</v>
          </cell>
          <cell r="G124">
            <v>0</v>
          </cell>
          <cell r="H124">
            <v>0</v>
          </cell>
          <cell r="I124">
            <v>0</v>
          </cell>
          <cell r="J124">
            <v>0</v>
          </cell>
          <cell r="K124">
            <v>0</v>
          </cell>
          <cell r="L124">
            <v>0</v>
          </cell>
          <cell r="M124">
            <v>0</v>
          </cell>
          <cell r="N124">
            <v>0</v>
          </cell>
          <cell r="O124">
            <v>37986</v>
          </cell>
        </row>
        <row r="125">
          <cell r="A125" t="str">
            <v>RAB37</v>
          </cell>
          <cell r="B125">
            <v>626667</v>
          </cell>
          <cell r="C125">
            <v>646405</v>
          </cell>
          <cell r="D125">
            <v>666106</v>
          </cell>
          <cell r="E125">
            <v>684195</v>
          </cell>
          <cell r="F125">
            <v>703914</v>
          </cell>
          <cell r="G125">
            <v>0</v>
          </cell>
          <cell r="H125">
            <v>0</v>
          </cell>
          <cell r="I125">
            <v>0</v>
          </cell>
          <cell r="J125">
            <v>0</v>
          </cell>
          <cell r="K125">
            <v>0</v>
          </cell>
          <cell r="L125">
            <v>0</v>
          </cell>
          <cell r="M125">
            <v>0</v>
          </cell>
          <cell r="N125">
            <v>0</v>
          </cell>
          <cell r="O125">
            <v>37986</v>
          </cell>
        </row>
        <row r="126">
          <cell r="A126" t="str">
            <v>RAB4H</v>
          </cell>
          <cell r="B126">
            <v>272087</v>
          </cell>
          <cell r="C126">
            <v>284455</v>
          </cell>
          <cell r="D126">
            <v>296822</v>
          </cell>
          <cell r="E126">
            <v>309190</v>
          </cell>
          <cell r="F126">
            <v>321557</v>
          </cell>
          <cell r="G126">
            <v>0</v>
          </cell>
          <cell r="H126">
            <v>0</v>
          </cell>
          <cell r="I126">
            <v>0</v>
          </cell>
          <cell r="J126">
            <v>0</v>
          </cell>
          <cell r="K126">
            <v>0</v>
          </cell>
          <cell r="L126">
            <v>0</v>
          </cell>
          <cell r="M126">
            <v>0</v>
          </cell>
          <cell r="N126">
            <v>0</v>
          </cell>
          <cell r="O126">
            <v>37986</v>
          </cell>
        </row>
        <row r="127">
          <cell r="A127" t="str">
            <v>RAB4N</v>
          </cell>
          <cell r="B127">
            <v>287591</v>
          </cell>
          <cell r="C127">
            <v>287591</v>
          </cell>
          <cell r="D127">
            <v>287591</v>
          </cell>
          <cell r="E127">
            <v>287591</v>
          </cell>
          <cell r="F127">
            <v>287591</v>
          </cell>
          <cell r="G127">
            <v>0</v>
          </cell>
          <cell r="H127">
            <v>0</v>
          </cell>
          <cell r="I127">
            <v>0</v>
          </cell>
          <cell r="J127">
            <v>0</v>
          </cell>
          <cell r="K127">
            <v>0</v>
          </cell>
          <cell r="L127">
            <v>0</v>
          </cell>
          <cell r="M127">
            <v>0</v>
          </cell>
          <cell r="N127">
            <v>0</v>
          </cell>
          <cell r="O127">
            <v>37986</v>
          </cell>
        </row>
        <row r="128">
          <cell r="A128" t="str">
            <v>RLB45</v>
          </cell>
          <cell r="B128">
            <v>-5</v>
          </cell>
          <cell r="C128">
            <v>-5</v>
          </cell>
          <cell r="D128">
            <v>-5</v>
          </cell>
          <cell r="E128">
            <v>-5</v>
          </cell>
          <cell r="F128">
            <v>-5</v>
          </cell>
          <cell r="G128">
            <v>0</v>
          </cell>
          <cell r="H128">
            <v>0</v>
          </cell>
          <cell r="I128">
            <v>0</v>
          </cell>
          <cell r="J128">
            <v>0</v>
          </cell>
          <cell r="K128">
            <v>0</v>
          </cell>
          <cell r="L128">
            <v>0</v>
          </cell>
          <cell r="M128">
            <v>0</v>
          </cell>
          <cell r="N128">
            <v>0</v>
          </cell>
          <cell r="O128">
            <v>37986</v>
          </cell>
        </row>
        <row r="129">
          <cell r="A129" t="str">
            <v>RLB47</v>
          </cell>
          <cell r="B129">
            <v>-465744</v>
          </cell>
          <cell r="C129">
            <v>-465774</v>
          </cell>
          <cell r="D129">
            <v>-465825</v>
          </cell>
          <cell r="E129">
            <v>-465876</v>
          </cell>
          <cell r="F129">
            <v>-465930</v>
          </cell>
          <cell r="G129">
            <v>0</v>
          </cell>
          <cell r="H129">
            <v>0</v>
          </cell>
          <cell r="I129">
            <v>0</v>
          </cell>
          <cell r="J129">
            <v>0</v>
          </cell>
          <cell r="K129">
            <v>0</v>
          </cell>
          <cell r="L129">
            <v>0</v>
          </cell>
          <cell r="M129">
            <v>0</v>
          </cell>
          <cell r="N129">
            <v>0</v>
          </cell>
          <cell r="O129">
            <v>37986</v>
          </cell>
        </row>
        <row r="130">
          <cell r="A130" t="str">
            <v>RLB48</v>
          </cell>
          <cell r="B130">
            <v>0</v>
          </cell>
          <cell r="C130">
            <v>0</v>
          </cell>
          <cell r="D130">
            <v>0</v>
          </cell>
          <cell r="E130">
            <v>-1354</v>
          </cell>
          <cell r="F130">
            <v>-767</v>
          </cell>
          <cell r="G130">
            <v>0</v>
          </cell>
          <cell r="H130">
            <v>0</v>
          </cell>
          <cell r="I130">
            <v>0</v>
          </cell>
          <cell r="J130">
            <v>0</v>
          </cell>
          <cell r="K130">
            <v>0</v>
          </cell>
          <cell r="L130">
            <v>0</v>
          </cell>
          <cell r="M130">
            <v>0</v>
          </cell>
          <cell r="N130">
            <v>0</v>
          </cell>
          <cell r="O130">
            <v>37986</v>
          </cell>
        </row>
        <row r="131">
          <cell r="A131" t="str">
            <v>RLB51</v>
          </cell>
          <cell r="B131">
            <v>-39129</v>
          </cell>
          <cell r="C131">
            <v>-48688</v>
          </cell>
          <cell r="D131">
            <v>-51564</v>
          </cell>
          <cell r="E131">
            <v>-35728</v>
          </cell>
          <cell r="F131">
            <v>-24290</v>
          </cell>
          <cell r="G131">
            <v>0</v>
          </cell>
          <cell r="H131">
            <v>0</v>
          </cell>
          <cell r="I131">
            <v>0</v>
          </cell>
          <cell r="J131">
            <v>0</v>
          </cell>
          <cell r="K131">
            <v>0</v>
          </cell>
          <cell r="L131">
            <v>0</v>
          </cell>
          <cell r="M131">
            <v>0</v>
          </cell>
          <cell r="N131">
            <v>0</v>
          </cell>
          <cell r="O131">
            <v>37986</v>
          </cell>
        </row>
        <row r="132">
          <cell r="A132" t="str">
            <v>RLB55</v>
          </cell>
          <cell r="B132">
            <v>-151061353</v>
          </cell>
          <cell r="C132">
            <v>-151802379</v>
          </cell>
          <cell r="D132">
            <v>-151593405</v>
          </cell>
          <cell r="E132">
            <v>-151384431</v>
          </cell>
          <cell r="F132">
            <v>-151177913</v>
          </cell>
          <cell r="G132">
            <v>0</v>
          </cell>
          <cell r="H132">
            <v>0</v>
          </cell>
          <cell r="I132">
            <v>0</v>
          </cell>
          <cell r="J132">
            <v>0</v>
          </cell>
          <cell r="K132">
            <v>0</v>
          </cell>
          <cell r="L132">
            <v>0</v>
          </cell>
          <cell r="M132">
            <v>0</v>
          </cell>
          <cell r="N132">
            <v>0</v>
          </cell>
          <cell r="O132">
            <v>37986</v>
          </cell>
        </row>
        <row r="133">
          <cell r="A133" t="str">
            <v>RLB57</v>
          </cell>
          <cell r="B133">
            <v>0</v>
          </cell>
          <cell r="C133">
            <v>0</v>
          </cell>
          <cell r="D133">
            <v>0</v>
          </cell>
          <cell r="E133">
            <v>0</v>
          </cell>
          <cell r="F133">
            <v>0</v>
          </cell>
          <cell r="G133">
            <v>0</v>
          </cell>
          <cell r="H133">
            <v>0</v>
          </cell>
          <cell r="I133">
            <v>0</v>
          </cell>
          <cell r="J133">
            <v>0</v>
          </cell>
          <cell r="K133">
            <v>0</v>
          </cell>
          <cell r="L133">
            <v>0</v>
          </cell>
          <cell r="M133">
            <v>0</v>
          </cell>
          <cell r="N133">
            <v>0</v>
          </cell>
          <cell r="O133">
            <v>37986</v>
          </cell>
        </row>
        <row r="134">
          <cell r="A134" t="str">
            <v>RLB58</v>
          </cell>
          <cell r="B134">
            <v>5500</v>
          </cell>
          <cell r="C134">
            <v>6325</v>
          </cell>
          <cell r="D134">
            <v>7150</v>
          </cell>
          <cell r="E134">
            <v>7975</v>
          </cell>
          <cell r="F134">
            <v>8800</v>
          </cell>
          <cell r="G134">
            <v>0</v>
          </cell>
          <cell r="H134">
            <v>0</v>
          </cell>
          <cell r="I134">
            <v>0</v>
          </cell>
          <cell r="J134">
            <v>0</v>
          </cell>
          <cell r="K134">
            <v>0</v>
          </cell>
          <cell r="L134">
            <v>0</v>
          </cell>
          <cell r="M134">
            <v>0</v>
          </cell>
          <cell r="N134">
            <v>0</v>
          </cell>
          <cell r="O134">
            <v>37986</v>
          </cell>
        </row>
        <row r="135">
          <cell r="A135" t="str">
            <v>RLB89</v>
          </cell>
          <cell r="B135">
            <v>0</v>
          </cell>
          <cell r="C135">
            <v>0</v>
          </cell>
          <cell r="D135">
            <v>0</v>
          </cell>
          <cell r="E135">
            <v>0</v>
          </cell>
          <cell r="F135">
            <v>0</v>
          </cell>
          <cell r="G135">
            <v>0</v>
          </cell>
          <cell r="H135">
            <v>0</v>
          </cell>
          <cell r="I135">
            <v>0</v>
          </cell>
          <cell r="J135">
            <v>0</v>
          </cell>
          <cell r="K135">
            <v>0</v>
          </cell>
          <cell r="L135">
            <v>0</v>
          </cell>
          <cell r="M135">
            <v>0</v>
          </cell>
          <cell r="N135">
            <v>0</v>
          </cell>
          <cell r="O135">
            <v>37986</v>
          </cell>
        </row>
        <row r="136">
          <cell r="A136" t="str">
            <v>RRG81</v>
          </cell>
          <cell r="B136">
            <v>0</v>
          </cell>
          <cell r="C136">
            <v>0</v>
          </cell>
          <cell r="D136">
            <v>0</v>
          </cell>
          <cell r="E136">
            <v>0</v>
          </cell>
          <cell r="F136">
            <v>0</v>
          </cell>
          <cell r="G136">
            <v>0</v>
          </cell>
          <cell r="H136">
            <v>0</v>
          </cell>
          <cell r="I136">
            <v>0</v>
          </cell>
          <cell r="J136">
            <v>0</v>
          </cell>
          <cell r="K136">
            <v>0</v>
          </cell>
          <cell r="L136">
            <v>0</v>
          </cell>
          <cell r="M136">
            <v>0</v>
          </cell>
          <cell r="N136">
            <v>0</v>
          </cell>
          <cell r="O136">
            <v>37986</v>
          </cell>
        </row>
        <row r="137">
          <cell r="A137" t="str">
            <v>RSLS</v>
          </cell>
          <cell r="B137">
            <v>-6013983</v>
          </cell>
          <cell r="C137">
            <v>0</v>
          </cell>
          <cell r="D137">
            <v>0</v>
          </cell>
          <cell r="E137">
            <v>0</v>
          </cell>
          <cell r="F137">
            <v>0</v>
          </cell>
          <cell r="G137">
            <v>0</v>
          </cell>
          <cell r="H137">
            <v>0</v>
          </cell>
          <cell r="I137">
            <v>0</v>
          </cell>
          <cell r="J137">
            <v>0</v>
          </cell>
          <cell r="K137">
            <v>0</v>
          </cell>
          <cell r="L137">
            <v>0</v>
          </cell>
          <cell r="M137">
            <v>0</v>
          </cell>
          <cell r="N137">
            <v>0</v>
          </cell>
          <cell r="O137">
            <v>37986</v>
          </cell>
        </row>
        <row r="138">
          <cell r="A138" t="str">
            <v>RXP18</v>
          </cell>
          <cell r="B138">
            <v>0</v>
          </cell>
          <cell r="C138">
            <v>0</v>
          </cell>
          <cell r="D138">
            <v>0</v>
          </cell>
          <cell r="E138">
            <v>0</v>
          </cell>
          <cell r="F138">
            <v>0</v>
          </cell>
          <cell r="G138">
            <v>0</v>
          </cell>
          <cell r="H138">
            <v>0</v>
          </cell>
          <cell r="I138">
            <v>0</v>
          </cell>
          <cell r="J138">
            <v>0</v>
          </cell>
          <cell r="K138">
            <v>0</v>
          </cell>
          <cell r="L138">
            <v>0</v>
          </cell>
          <cell r="M138">
            <v>0</v>
          </cell>
          <cell r="N138">
            <v>0</v>
          </cell>
          <cell r="O138">
            <v>37986</v>
          </cell>
        </row>
        <row r="139">
          <cell r="A139" t="str">
            <v>RXP25</v>
          </cell>
          <cell r="B139">
            <v>-377332</v>
          </cell>
          <cell r="C139">
            <v>0</v>
          </cell>
          <cell r="D139">
            <v>0</v>
          </cell>
          <cell r="E139">
            <v>0</v>
          </cell>
          <cell r="F139">
            <v>0</v>
          </cell>
          <cell r="G139">
            <v>0</v>
          </cell>
          <cell r="H139">
            <v>0</v>
          </cell>
          <cell r="I139">
            <v>0</v>
          </cell>
          <cell r="J139">
            <v>0</v>
          </cell>
          <cell r="K139">
            <v>0</v>
          </cell>
          <cell r="L139">
            <v>0</v>
          </cell>
          <cell r="M139">
            <v>0</v>
          </cell>
          <cell r="N139">
            <v>0</v>
          </cell>
          <cell r="O139">
            <v>37986</v>
          </cell>
        </row>
        <row r="140">
          <cell r="A140" t="str">
            <v>STD</v>
          </cell>
          <cell r="B140">
            <v>-88100</v>
          </cell>
          <cell r="C140">
            <v>-52900</v>
          </cell>
          <cell r="D140">
            <v>-49600</v>
          </cell>
          <cell r="E140">
            <v>-66000</v>
          </cell>
          <cell r="F140">
            <v>-66000</v>
          </cell>
          <cell r="G140">
            <v>0</v>
          </cell>
          <cell r="H140">
            <v>0</v>
          </cell>
          <cell r="I140">
            <v>0</v>
          </cell>
          <cell r="J140">
            <v>0</v>
          </cell>
          <cell r="K140">
            <v>0</v>
          </cell>
          <cell r="L140">
            <v>0</v>
          </cell>
          <cell r="M140">
            <v>0</v>
          </cell>
          <cell r="N140">
            <v>0</v>
          </cell>
          <cell r="O140">
            <v>37986</v>
          </cell>
        </row>
        <row r="141">
          <cell r="A141" t="str">
            <v>TOTGAS</v>
          </cell>
          <cell r="B141">
            <v>206079227</v>
          </cell>
          <cell r="C141">
            <v>0</v>
          </cell>
          <cell r="D141">
            <v>0</v>
          </cell>
          <cell r="E141">
            <v>0</v>
          </cell>
          <cell r="F141">
            <v>0</v>
          </cell>
          <cell r="G141">
            <v>0</v>
          </cell>
          <cell r="H141">
            <v>0</v>
          </cell>
          <cell r="I141">
            <v>0</v>
          </cell>
          <cell r="J141">
            <v>0</v>
          </cell>
          <cell r="K141">
            <v>0</v>
          </cell>
          <cell r="L141">
            <v>0</v>
          </cell>
          <cell r="M141">
            <v>0</v>
          </cell>
          <cell r="N141">
            <v>0</v>
          </cell>
          <cell r="O141">
            <v>37986</v>
          </cell>
        </row>
        <row r="142">
          <cell r="A142" t="str">
            <v>TOTOM</v>
          </cell>
          <cell r="B142">
            <v>66968501</v>
          </cell>
          <cell r="C142">
            <v>0</v>
          </cell>
          <cell r="D142">
            <v>0</v>
          </cell>
          <cell r="E142">
            <v>0</v>
          </cell>
          <cell r="F142">
            <v>0</v>
          </cell>
          <cell r="G142">
            <v>0</v>
          </cell>
          <cell r="H142">
            <v>0</v>
          </cell>
          <cell r="I142">
            <v>0</v>
          </cell>
          <cell r="J142">
            <v>0</v>
          </cell>
          <cell r="K142">
            <v>0</v>
          </cell>
          <cell r="L142">
            <v>0</v>
          </cell>
          <cell r="M142">
            <v>0</v>
          </cell>
          <cell r="N142">
            <v>0</v>
          </cell>
          <cell r="O142">
            <v>37986</v>
          </cell>
        </row>
        <row r="143">
          <cell r="A143" t="str">
            <v>WNRMLZ</v>
          </cell>
          <cell r="B143">
            <v>0</v>
          </cell>
          <cell r="C143">
            <v>0</v>
          </cell>
          <cell r="D143">
            <v>0</v>
          </cell>
          <cell r="E143">
            <v>0</v>
          </cell>
          <cell r="F143">
            <v>0</v>
          </cell>
          <cell r="G143">
            <v>0</v>
          </cell>
          <cell r="H143">
            <v>0</v>
          </cell>
          <cell r="I143">
            <v>0</v>
          </cell>
          <cell r="J143">
            <v>0</v>
          </cell>
          <cell r="K143">
            <v>0</v>
          </cell>
          <cell r="L143">
            <v>0</v>
          </cell>
          <cell r="M143">
            <v>0</v>
          </cell>
          <cell r="N143">
            <v>0</v>
          </cell>
          <cell r="O143">
            <v>37986</v>
          </cell>
        </row>
        <row r="144">
          <cell r="A144" t="str">
            <v>XMRGN</v>
          </cell>
          <cell r="B144">
            <v>0</v>
          </cell>
          <cell r="C144">
            <v>0</v>
          </cell>
          <cell r="D144">
            <v>0</v>
          </cell>
          <cell r="E144">
            <v>0</v>
          </cell>
          <cell r="F144">
            <v>0</v>
          </cell>
          <cell r="G144">
            <v>0</v>
          </cell>
          <cell r="H144">
            <v>0</v>
          </cell>
          <cell r="I144">
            <v>0</v>
          </cell>
          <cell r="J144">
            <v>0</v>
          </cell>
          <cell r="K144">
            <v>0</v>
          </cell>
          <cell r="L144">
            <v>0</v>
          </cell>
          <cell r="M144">
            <v>0</v>
          </cell>
          <cell r="N144">
            <v>0</v>
          </cell>
          <cell r="O144">
            <v>37986</v>
          </cell>
        </row>
      </sheetData>
      <sheetData sheetId="35"/>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09 Combined Table A1 "/>
      <sheetName val=" 2009 Comb Revenues A2"/>
      <sheetName val="2009 Joint Table A1 Pies"/>
      <sheetName val="CLP Table A  "/>
      <sheetName val="CLP Table A _Final Decision"/>
      <sheetName val="CL&amp;P 2009 Table A Pie Chart"/>
      <sheetName val="CLP Table B - 2009 Comparison"/>
      <sheetName val="CLP Table B1"/>
      <sheetName val="Table C 2009 "/>
      <sheetName val="2009 Table C Pie Chart"/>
      <sheetName val="2009 CLP Table D"/>
      <sheetName val="2009 CLP Table D1"/>
      <sheetName val="2008  CLP PMF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09 Combined Table A1 "/>
      <sheetName val=" 2009 Comb. Rev A2"/>
      <sheetName val="2009 Joint Table A1 Pies"/>
      <sheetName val="CLP Table A  "/>
      <sheetName val="CLP Table A _Final Decision"/>
      <sheetName val="CL&amp;P 2009 Table A Pie Chart"/>
      <sheetName val="CLP Table B - 2009 Comparison"/>
      <sheetName val="CLP Table B1"/>
      <sheetName val="Table C 2009 "/>
      <sheetName val="2009 Table C Pie Chart"/>
      <sheetName val="2009 CLP Table D"/>
      <sheetName val="2008  CLP PMF Exhibit 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
      <sheetName val="Table A2"/>
      <sheetName val="Budget Pies 2021"/>
      <sheetName val="UI_Table_B"/>
      <sheetName val="Table C 2021"/>
      <sheetName val="Table C Pie Chart 2021"/>
      <sheetName val="Table D"/>
      <sheetName val="Table D1"/>
      <sheetName val="Table D1 (2)"/>
      <sheetName val="Table D2"/>
      <sheetName val="Table D2 (2)"/>
      <sheetName val="2021 Exhibit 4"/>
    </sheetNames>
    <sheetDataSet>
      <sheetData sheetId="0">
        <row r="13">
          <cell r="J13">
            <v>2795488.255236106</v>
          </cell>
        </row>
        <row r="14">
          <cell r="J14">
            <v>423434.8368133055</v>
          </cell>
        </row>
        <row r="15">
          <cell r="J15">
            <v>3521887.5323428717</v>
          </cell>
        </row>
        <row r="16">
          <cell r="J16">
            <v>1322749.4031764038</v>
          </cell>
        </row>
        <row r="17">
          <cell r="J17">
            <v>2076231.0832268898</v>
          </cell>
        </row>
        <row r="18">
          <cell r="J18">
            <v>193395.72000000003</v>
          </cell>
        </row>
        <row r="22">
          <cell r="J22">
            <v>2903673.7533250749</v>
          </cell>
        </row>
        <row r="25">
          <cell r="J25">
            <v>12357622.543698594</v>
          </cell>
        </row>
        <row r="26">
          <cell r="J26">
            <v>825693.71569327044</v>
          </cell>
        </row>
        <row r="28">
          <cell r="J28">
            <v>3913845.3162015928</v>
          </cell>
        </row>
        <row r="31">
          <cell r="J31">
            <v>174461.61222752894</v>
          </cell>
        </row>
        <row r="32">
          <cell r="J32">
            <v>0</v>
          </cell>
        </row>
        <row r="33">
          <cell r="J33">
            <v>112232.48960792371</v>
          </cell>
        </row>
        <row r="34">
          <cell r="J34">
            <v>77660.201153521295</v>
          </cell>
        </row>
        <row r="37">
          <cell r="J37">
            <v>156931.89823391274</v>
          </cell>
        </row>
        <row r="38">
          <cell r="J38">
            <v>0</v>
          </cell>
        </row>
        <row r="39">
          <cell r="J39">
            <v>25858.560000000009</v>
          </cell>
        </row>
        <row r="42">
          <cell r="J42">
            <v>417042.43610177812</v>
          </cell>
        </row>
        <row r="43">
          <cell r="J43">
            <v>103718.45408541011</v>
          </cell>
        </row>
        <row r="46">
          <cell r="J46">
            <v>248807.41835112253</v>
          </cell>
        </row>
        <row r="47">
          <cell r="J47">
            <v>16986.64</v>
          </cell>
        </row>
        <row r="48">
          <cell r="J48">
            <v>226790.70757555214</v>
          </cell>
        </row>
        <row r="49">
          <cell r="J49">
            <v>478387.94999999995</v>
          </cell>
        </row>
        <row r="50">
          <cell r="J50">
            <v>52474.83</v>
          </cell>
        </row>
        <row r="51">
          <cell r="J51">
            <v>156309.3132380016</v>
          </cell>
        </row>
        <row r="52">
          <cell r="J52">
            <v>103999.73999999999</v>
          </cell>
        </row>
        <row r="53">
          <cell r="J53">
            <v>3903.5900000000038</v>
          </cell>
        </row>
        <row r="54">
          <cell r="J54">
            <v>993299.11</v>
          </cell>
        </row>
      </sheetData>
      <sheetData sheetId="1" refreshError="1"/>
      <sheetData sheetId="2">
        <row r="32">
          <cell r="D32">
            <v>4930420.5536338734</v>
          </cell>
        </row>
        <row r="33">
          <cell r="D33">
            <v>10912966.932634</v>
          </cell>
        </row>
        <row r="39">
          <cell r="D39">
            <v>17855166.10336541</v>
          </cell>
        </row>
        <row r="43">
          <cell r="D43">
            <v>3267616.848713344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
      <sheetName val="Table A2"/>
      <sheetName val="Budget Pies 2022"/>
      <sheetName val="Budget Pies 2023"/>
      <sheetName val="Budget Pies 2024"/>
      <sheetName val="Table C 2022"/>
      <sheetName val="Table C 2023"/>
      <sheetName val="Table C 2024"/>
      <sheetName val="Table C Pie Chart 2022"/>
      <sheetName val="Table C Pie Chart 2023"/>
      <sheetName val="Table C Pie Chart 2024"/>
    </sheetNames>
    <sheetDataSet>
      <sheetData sheetId="0">
        <row r="12">
          <cell r="F12">
            <v>1959310</v>
          </cell>
          <cell r="H12">
            <v>757358.32923236419</v>
          </cell>
        </row>
        <row r="13">
          <cell r="F13">
            <v>770213</v>
          </cell>
          <cell r="H13">
            <v>623385.84514738608</v>
          </cell>
        </row>
        <row r="14">
          <cell r="F14">
            <v>6327483</v>
          </cell>
          <cell r="H14">
            <v>3744833.6974162431</v>
          </cell>
        </row>
        <row r="15">
          <cell r="F15">
            <v>2249235</v>
          </cell>
          <cell r="H15">
            <v>2228156.1926248251</v>
          </cell>
        </row>
        <row r="16">
          <cell r="F16">
            <v>4956531.4000000004</v>
          </cell>
          <cell r="H16">
            <v>3947342.8326474186</v>
          </cell>
        </row>
        <row r="17">
          <cell r="F17">
            <v>68544.399999999994</v>
          </cell>
          <cell r="H17">
            <v>281839.37502791377</v>
          </cell>
        </row>
        <row r="20">
          <cell r="F20">
            <v>7916998</v>
          </cell>
          <cell r="H20">
            <v>4235858.4924753252</v>
          </cell>
        </row>
        <row r="21">
          <cell r="F21">
            <v>5801717</v>
          </cell>
          <cell r="H21">
            <v>7856527.3449996002</v>
          </cell>
        </row>
        <row r="22">
          <cell r="F22">
            <v>433054.4</v>
          </cell>
          <cell r="H22">
            <v>1154084.6046550167</v>
          </cell>
        </row>
        <row r="23">
          <cell r="F23">
            <v>6996241.4000000004</v>
          </cell>
          <cell r="H23">
            <v>3821696.1953510051</v>
          </cell>
        </row>
        <row r="26">
          <cell r="F26">
            <v>610010</v>
          </cell>
          <cell r="H26">
            <v>565015.14991220902</v>
          </cell>
        </row>
        <row r="27">
          <cell r="F27">
            <v>174610</v>
          </cell>
          <cell r="H27">
            <v>359419.180087791</v>
          </cell>
        </row>
        <row r="30">
          <cell r="F30">
            <v>128510.55</v>
          </cell>
          <cell r="J30">
            <v>183999.93058740845</v>
          </cell>
        </row>
        <row r="31">
          <cell r="F31">
            <v>100986.5</v>
          </cell>
          <cell r="J31">
            <v>198399.95775061124</v>
          </cell>
        </row>
        <row r="32">
          <cell r="F32">
            <v>107074</v>
          </cell>
          <cell r="J32">
            <v>192000.40329138338</v>
          </cell>
        </row>
        <row r="33">
          <cell r="F33">
            <v>0</v>
          </cell>
          <cell r="J33">
            <v>80000.352947476989</v>
          </cell>
        </row>
        <row r="36">
          <cell r="F36">
            <v>28752</v>
          </cell>
          <cell r="H36">
            <v>157992</v>
          </cell>
        </row>
        <row r="37">
          <cell r="F37">
            <v>0</v>
          </cell>
          <cell r="H37">
            <v>85000</v>
          </cell>
        </row>
        <row r="38">
          <cell r="F38">
            <v>7188</v>
          </cell>
          <cell r="H38">
            <v>151249.79999999999</v>
          </cell>
        </row>
        <row r="41">
          <cell r="F41">
            <v>89281</v>
          </cell>
          <cell r="H41">
            <v>185015.46000000002</v>
          </cell>
        </row>
        <row r="42">
          <cell r="F42">
            <v>176012</v>
          </cell>
          <cell r="H42">
            <v>121400</v>
          </cell>
        </row>
        <row r="43">
          <cell r="F43">
            <v>333097</v>
          </cell>
          <cell r="H43">
            <v>194042.87</v>
          </cell>
        </row>
        <row r="44">
          <cell r="F44">
            <v>480000</v>
          </cell>
          <cell r="H44">
            <v>720000</v>
          </cell>
        </row>
        <row r="45">
          <cell r="F45">
            <v>52635</v>
          </cell>
          <cell r="H45">
            <v>71057</v>
          </cell>
        </row>
        <row r="46">
          <cell r="F46">
            <v>692058</v>
          </cell>
          <cell r="H46">
            <v>1194375.3199999998</v>
          </cell>
        </row>
        <row r="47">
          <cell r="F47">
            <v>104000</v>
          </cell>
          <cell r="H47">
            <v>128000</v>
          </cell>
        </row>
        <row r="48">
          <cell r="F48">
            <v>24000</v>
          </cell>
          <cell r="H48">
            <v>24000</v>
          </cell>
        </row>
        <row r="49">
          <cell r="F49">
            <v>2459136</v>
          </cell>
          <cell r="H49">
            <v>1651949.666707699</v>
          </cell>
        </row>
      </sheetData>
      <sheetData sheetId="1" refreshError="1"/>
      <sheetData sheetId="2">
        <row r="32">
          <cell r="C32">
            <v>4307329.8043185463</v>
          </cell>
        </row>
        <row r="33">
          <cell r="C33">
            <v>8540034.0482908525</v>
          </cell>
        </row>
        <row r="39">
          <cell r="C39">
            <v>17746946.031544577</v>
          </cell>
        </row>
        <row r="43">
          <cell r="C43">
            <v>4319690.1167076984</v>
          </cell>
        </row>
      </sheetData>
      <sheetData sheetId="3">
        <row r="32">
          <cell r="C32">
            <v>4094987.4659872479</v>
          </cell>
        </row>
      </sheetData>
      <sheetData sheetId="4">
        <row r="32">
          <cell r="C32">
            <v>3985651.14973239</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Table A "/>
      <sheetName val="Table A2"/>
      <sheetName val="Bud Data Input 2022"/>
      <sheetName val="Bud Data Input 2023"/>
      <sheetName val="Bud Data Input 2024"/>
      <sheetName val="Bud Data Input 2025"/>
      <sheetName val="Budget Pies 2022"/>
      <sheetName val="Budget Pies 2023"/>
      <sheetName val="Budget Pies 2024"/>
      <sheetName val="Budget Pies 2025"/>
      <sheetName val="Table B 2022 w DRIPE"/>
      <sheetName val="Table B 2023 w DRIPE"/>
      <sheetName val="Table B 2024 w DRIPE"/>
      <sheetName val="Budget Allocation Table"/>
      <sheetName val="Table B3 2019"/>
      <sheetName val="Table B3 2020"/>
      <sheetName val="Table B3 2021"/>
      <sheetName val="Table C 2018"/>
      <sheetName val="Table C 2019"/>
      <sheetName val="Table C 2022"/>
      <sheetName val="Table C 2023"/>
      <sheetName val="Table C 2024"/>
      <sheetName val="Table C 2025"/>
      <sheetName val="Table C Pie Chart 2022"/>
      <sheetName val="Table C Pie Chart 2023"/>
      <sheetName val="Table C Pie Chart 2024"/>
      <sheetName val="Table C Pie Chart 2025"/>
      <sheetName val="Table D"/>
      <sheetName val="Table D1"/>
      <sheetName val="Table D1 (2)"/>
      <sheetName val="Table D1 (3)"/>
      <sheetName val="Table D2"/>
      <sheetName val="Table D2 (2)"/>
      <sheetName val="2019 Exhibit 4"/>
      <sheetName val="Table D3"/>
      <sheetName val="2022 Exhibit 4"/>
      <sheetName val="2023 Exhibit 4"/>
      <sheetName val="2024 Exhibit 4"/>
    </sheetNames>
    <sheetDataSet>
      <sheetData sheetId="0"/>
      <sheetData sheetId="1">
        <row r="12">
          <cell r="K12">
            <v>1001887.299320336</v>
          </cell>
          <cell r="N12">
            <v>986338.33051023865</v>
          </cell>
          <cell r="O12">
            <v>979194.31275183032</v>
          </cell>
        </row>
        <row r="13">
          <cell r="K13">
            <v>561641.63007863215</v>
          </cell>
          <cell r="N13">
            <v>552925.13252998656</v>
          </cell>
          <cell r="O13">
            <v>548920.31304393744</v>
          </cell>
        </row>
        <row r="14">
          <cell r="K14">
            <v>3962536.7595237829</v>
          </cell>
          <cell r="N14">
            <v>3901039.4628473036</v>
          </cell>
        </row>
        <row r="15">
          <cell r="K15">
            <v>2168933.7526062755</v>
          </cell>
          <cell r="N15">
            <v>2135272.5980100241</v>
          </cell>
          <cell r="O15">
            <v>2119806.8851938806</v>
          </cell>
        </row>
        <row r="16">
          <cell r="K16">
            <v>4330201.0743051684</v>
          </cell>
          <cell r="N16">
            <v>4262997.7456558319</v>
          </cell>
          <cell r="O16">
            <v>4232120.9859710839</v>
          </cell>
        </row>
        <row r="17">
          <cell r="K17">
            <v>199044.18152319355</v>
          </cell>
          <cell r="N17">
            <v>195955.07981241727</v>
          </cell>
          <cell r="O17">
            <v>194535.78328228442</v>
          </cell>
        </row>
        <row r="20">
          <cell r="K20">
            <v>3920523.4416047367</v>
          </cell>
          <cell r="N20">
            <v>3839994.7731835046</v>
          </cell>
          <cell r="O20">
            <v>3812181.809835393</v>
          </cell>
        </row>
        <row r="21">
          <cell r="K21">
            <v>7466578.4970622947</v>
          </cell>
          <cell r="N21">
            <v>7185371.6949423887</v>
          </cell>
          <cell r="O21">
            <v>7133328.2700425386</v>
          </cell>
        </row>
        <row r="22">
          <cell r="K22">
            <v>1105722.6237193614</v>
          </cell>
          <cell r="N22">
            <v>1072253.0744938485</v>
          </cell>
          <cell r="O22">
            <v>1064486.7786465045</v>
          </cell>
        </row>
        <row r="23">
          <cell r="K23">
            <v>3642400.3144699959</v>
          </cell>
          <cell r="N23">
            <v>3578597.2377529265</v>
          </cell>
          <cell r="O23">
            <v>3552677.5686673457</v>
          </cell>
        </row>
        <row r="26">
          <cell r="K26">
            <v>687093.95991220907</v>
          </cell>
          <cell r="N26">
            <v>833588.14991220902</v>
          </cell>
          <cell r="O26">
            <v>833588.14991220902</v>
          </cell>
        </row>
        <row r="27">
          <cell r="K27">
            <v>424129.180087791</v>
          </cell>
          <cell r="N27">
            <v>492859.180087791</v>
          </cell>
          <cell r="O27">
            <v>492859.180087791</v>
          </cell>
        </row>
        <row r="30">
          <cell r="K30">
            <v>183999.93058740845</v>
          </cell>
          <cell r="N30">
            <v>183999.93058740845</v>
          </cell>
          <cell r="O30">
            <v>183999.93058740845</v>
          </cell>
        </row>
        <row r="31">
          <cell r="K31">
            <v>198399.95775061124</v>
          </cell>
          <cell r="N31">
            <v>198399.95775061124</v>
          </cell>
          <cell r="O31">
            <v>198399.95775061124</v>
          </cell>
        </row>
        <row r="32">
          <cell r="K32">
            <v>192000.40329138338</v>
          </cell>
          <cell r="N32">
            <v>192000.40329138338</v>
          </cell>
          <cell r="O32">
            <v>192000.40329138338</v>
          </cell>
        </row>
        <row r="33">
          <cell r="K33">
            <v>80000.352947476989</v>
          </cell>
          <cell r="N33">
            <v>80000.352947476989</v>
          </cell>
          <cell r="O33">
            <v>80000.352947476989</v>
          </cell>
        </row>
        <row r="36">
          <cell r="K36">
            <v>146738</v>
          </cell>
          <cell r="N36">
            <v>146738</v>
          </cell>
          <cell r="O36">
            <v>146738</v>
          </cell>
        </row>
        <row r="37">
          <cell r="K37">
            <v>85000</v>
          </cell>
          <cell r="N37">
            <v>85000</v>
          </cell>
          <cell r="O37">
            <v>85000</v>
          </cell>
        </row>
        <row r="38">
          <cell r="K38">
            <v>151249.79999999999</v>
          </cell>
          <cell r="N38">
            <v>151249.79999999999</v>
          </cell>
          <cell r="O38">
            <v>151249.79999999999</v>
          </cell>
        </row>
        <row r="41">
          <cell r="K41">
            <v>185015.46000000002</v>
          </cell>
          <cell r="N41">
            <v>185015.46000000002</v>
          </cell>
          <cell r="O41">
            <v>185015.46000000002</v>
          </cell>
        </row>
        <row r="42">
          <cell r="K42">
            <v>121400</v>
          </cell>
          <cell r="N42">
            <v>121400</v>
          </cell>
          <cell r="O42">
            <v>121400</v>
          </cell>
        </row>
        <row r="43">
          <cell r="K43">
            <v>194042.87</v>
          </cell>
          <cell r="N43">
            <v>194042.87</v>
          </cell>
          <cell r="O43">
            <v>194042.87</v>
          </cell>
        </row>
        <row r="44">
          <cell r="K44">
            <v>720000</v>
          </cell>
          <cell r="N44">
            <v>720000</v>
          </cell>
          <cell r="O44">
            <v>720000</v>
          </cell>
        </row>
        <row r="45">
          <cell r="K45">
            <v>71057</v>
          </cell>
          <cell r="N45">
            <v>71057</v>
          </cell>
          <cell r="O45">
            <v>71057</v>
          </cell>
        </row>
        <row r="46">
          <cell r="K46">
            <v>725375.32000000007</v>
          </cell>
          <cell r="N46">
            <v>517375.31999999995</v>
          </cell>
          <cell r="O46">
            <v>517375.31999999995</v>
          </cell>
        </row>
        <row r="47">
          <cell r="K47">
            <v>128000</v>
          </cell>
          <cell r="N47">
            <v>128000</v>
          </cell>
          <cell r="O47">
            <v>128000</v>
          </cell>
        </row>
        <row r="48">
          <cell r="K48">
            <v>24000</v>
          </cell>
          <cell r="N48">
            <v>24000</v>
          </cell>
          <cell r="O48">
            <v>24000</v>
          </cell>
        </row>
        <row r="49">
          <cell r="K49">
            <v>1622695.7405837211</v>
          </cell>
          <cell r="N49">
            <v>1590620.7277157677</v>
          </cell>
        </row>
      </sheetData>
      <sheetData sheetId="2"/>
      <sheetData sheetId="3"/>
      <sheetData sheetId="4"/>
      <sheetData sheetId="5"/>
      <sheetData sheetId="6"/>
      <sheetData sheetId="7"/>
      <sheetData sheetId="8">
        <row r="32">
          <cell r="C32">
            <v>4689765.2499248795</v>
          </cell>
        </row>
        <row r="33">
          <cell r="C33">
            <v>8909751.8379457556</v>
          </cell>
        </row>
        <row r="39">
          <cell r="C39">
            <v>16878714.27092002</v>
          </cell>
        </row>
        <row r="43">
          <cell r="C43">
            <v>3821436.1905837208</v>
          </cell>
        </row>
      </sheetData>
      <sheetData sheetId="9">
        <row r="32">
          <cell r="C32">
            <v>4650934.0287623098</v>
          </cell>
        </row>
        <row r="33">
          <cell r="C33">
            <v>8905360.9011167381</v>
          </cell>
        </row>
        <row r="39">
          <cell r="C39">
            <v>16488436.174436297</v>
          </cell>
        </row>
        <row r="43">
          <cell r="C43">
            <v>3581361.1777157672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22 - 2024 Combined Table A1"/>
      <sheetName val="2021 Joint Table A1 Pies"/>
      <sheetName val="2022 Joint Table A1 Pies "/>
      <sheetName val="2023 Joint Table A1 Pies"/>
      <sheetName val="2024 Joint Table A1 Pies "/>
      <sheetName val=" 2021 - 2024 Comb Revenues A2"/>
      <sheetName val="ES CT Electric Table A  "/>
      <sheetName val="Table A Pie Sector Alloc2022-24"/>
      <sheetName val="ES CT Electric 2021 Table A Pie"/>
      <sheetName val="ES CT Electric 2022 Table A Pie"/>
      <sheetName val="ES CT Electric 2023 Table A Pie"/>
      <sheetName val="ES CT Electric 2024 Table A Pie"/>
      <sheetName val="ES CT Electric Table C 2021"/>
      <sheetName val="ES CT Electric 2021 Table C Pie"/>
      <sheetName val="ES CT Electric 2022 Table C "/>
      <sheetName val="ES CT Electric 2022 Table C Pie"/>
      <sheetName val="ES CT Electric 2023 Table C "/>
      <sheetName val="ES CT Electric 2023 Table C Pie"/>
      <sheetName val="ES CT Electric 2024 Table C "/>
      <sheetName val="ES CT Electric 2024 Table C Pie"/>
      <sheetName val="2013-24 ES CT E Table D-$"/>
      <sheetName val="2013-24 ES CT E Table D1-kW"/>
      <sheetName val="2013-24 ESCTETable D2-annualkWh"/>
      <sheetName val="2013-24 ESCTETable D3-lftimekWh"/>
      <sheetName val="2013-24 Table D4 Units "/>
      <sheetName val="2013-24 ES CT E Table D5-kW"/>
      <sheetName val="2013-24 ESCTETable D6-annualkWh"/>
      <sheetName val="2013-24 ESCTETable D7-lftimekWh"/>
      <sheetName val="2019-24 ESCTETableD8AnnMMBTU"/>
      <sheetName val="2019-24 ESCTETableD9LifMMBTU"/>
      <sheetName val="2021 ES CT PMI"/>
      <sheetName val="2022 ES CT PMI"/>
      <sheetName val="2023 ES CT PMI"/>
      <sheetName val="2024 ES CT PMI"/>
      <sheetName val="2023 ES CT PMI  Old"/>
      <sheetName val="2024 ES CT PMI Old"/>
    </sheetNames>
    <sheetDataSet>
      <sheetData sheetId="0" refreshError="1">
        <row r="12">
          <cell r="I12">
            <v>8656062</v>
          </cell>
        </row>
        <row r="56">
          <cell r="M56">
            <v>164930780.30907416</v>
          </cell>
          <cell r="N56">
            <v>34914000.000861675</v>
          </cell>
        </row>
      </sheetData>
      <sheetData sheetId="1" refreshError="1"/>
      <sheetData sheetId="2" refreshError="1"/>
      <sheetData sheetId="3" refreshError="1"/>
      <sheetData sheetId="4" refreshError="1"/>
      <sheetData sheetId="5" refreshError="1"/>
      <sheetData sheetId="6">
        <row r="10">
          <cell r="J10">
            <v>4158000</v>
          </cell>
        </row>
      </sheetData>
      <sheetData sheetId="7" refreshError="1"/>
      <sheetData sheetId="8" refreshError="1"/>
      <sheetData sheetId="9" refreshError="1">
        <row r="30">
          <cell r="D30">
            <v>20361362.803768862</v>
          </cell>
        </row>
        <row r="31">
          <cell r="D31">
            <v>51656736.973748341</v>
          </cell>
        </row>
        <row r="36">
          <cell r="D36">
            <v>77706282.684365869</v>
          </cell>
        </row>
        <row r="41">
          <cell r="D41">
            <v>15206397.847191092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Joint Table A1 Pies -Gas"/>
      <sheetName val="2023 Joint Table A1 Pies - Gas"/>
      <sheetName val="2024 Joint Table A1 Pies - Gas"/>
      <sheetName val="2022 Joint Table A1 Pies - Elec"/>
      <sheetName val="2023 Joint Table A1 Pies - Elec"/>
      <sheetName val="2024 Joint Table A1 Pies -Elec "/>
    </sheetNames>
    <sheetDataSet>
      <sheetData sheetId="0" refreshError="1"/>
      <sheetData sheetId="1" refreshError="1"/>
      <sheetData sheetId="2" refreshError="1"/>
      <sheetData sheetId="3">
        <row r="30">
          <cell r="B30" t="str">
            <v>Res. Income-Eligible</v>
          </cell>
          <cell r="F30">
            <v>0.13680607532771721</v>
          </cell>
          <cell r="G30">
            <v>0.12614</v>
          </cell>
        </row>
        <row r="31">
          <cell r="B31" t="str">
            <v>Res. Non Income-Eligible</v>
          </cell>
          <cell r="F31">
            <v>0.33383544567037876</v>
          </cell>
          <cell r="G31">
            <v>0.34</v>
          </cell>
        </row>
        <row r="34">
          <cell r="B34" t="str">
            <v xml:space="preserve">C&amp;I </v>
          </cell>
          <cell r="F34">
            <v>0.52935847900190414</v>
          </cell>
          <cell r="G34">
            <v>0.53386</v>
          </cell>
        </row>
        <row r="35">
          <cell r="B35" t="str">
            <v>C&amp;I Q1</v>
          </cell>
          <cell r="F35">
            <v>0.13233961975047603</v>
          </cell>
          <cell r="G35">
            <v>0.133465</v>
          </cell>
        </row>
        <row r="36">
          <cell r="B36" t="str">
            <v>C&amp;I Q2</v>
          </cell>
          <cell r="F36">
            <v>0.13233961975047603</v>
          </cell>
          <cell r="G36">
            <v>0.133465</v>
          </cell>
        </row>
        <row r="37">
          <cell r="B37" t="str">
            <v>C&amp;I Q3</v>
          </cell>
          <cell r="F37">
            <v>0.13233961975047603</v>
          </cell>
          <cell r="G37">
            <v>0.133465</v>
          </cell>
        </row>
        <row r="38">
          <cell r="B38" t="str">
            <v>C&amp;I Q4</v>
          </cell>
          <cell r="F38">
            <v>0.13233961975047603</v>
          </cell>
          <cell r="G38">
            <v>0.133465</v>
          </cell>
        </row>
      </sheetData>
      <sheetData sheetId="4">
        <row r="30">
          <cell r="B30" t="str">
            <v>Res. Income-Eligible</v>
          </cell>
          <cell r="F30">
            <v>0.13558328721399837</v>
          </cell>
          <cell r="G30">
            <v>0.12614</v>
          </cell>
        </row>
        <row r="31">
          <cell r="B31" t="str">
            <v>Res. Non Income-Eligible</v>
          </cell>
          <cell r="F31">
            <v>0.34771131568099223</v>
          </cell>
          <cell r="G31">
            <v>0.35416000000000003</v>
          </cell>
        </row>
        <row r="34">
          <cell r="B34" t="str">
            <v xml:space="preserve">C&amp;I </v>
          </cell>
          <cell r="F34">
            <v>0.5167053971050094</v>
          </cell>
          <cell r="G34">
            <v>0.51969999999999994</v>
          </cell>
        </row>
        <row r="35">
          <cell r="B35" t="str">
            <v>C&amp;I Q1</v>
          </cell>
          <cell r="F35">
            <v>0.12917634927625235</v>
          </cell>
          <cell r="G35">
            <v>0.12992499999999998</v>
          </cell>
        </row>
        <row r="36">
          <cell r="B36" t="str">
            <v>C&amp;I Q2</v>
          </cell>
          <cell r="F36">
            <v>0.12917634927625235</v>
          </cell>
          <cell r="G36">
            <v>0.12992499999999998</v>
          </cell>
        </row>
        <row r="37">
          <cell r="B37" t="str">
            <v>C&amp;I Q3</v>
          </cell>
          <cell r="F37">
            <v>0.12917634927625235</v>
          </cell>
          <cell r="G37">
            <v>0.12992499999999998</v>
          </cell>
        </row>
        <row r="38">
          <cell r="B38" t="str">
            <v>C&amp;I Q4</v>
          </cell>
          <cell r="F38">
            <v>0.12917634927625235</v>
          </cell>
          <cell r="G38">
            <v>0.12992499999999998</v>
          </cell>
        </row>
      </sheetData>
      <sheetData sheetId="5">
        <row r="30">
          <cell r="B30" t="str">
            <v>Res. Income-Eligible</v>
          </cell>
          <cell r="F30">
            <v>0.135000020607348</v>
          </cell>
          <cell r="G30">
            <v>0.12614</v>
          </cell>
        </row>
        <row r="31">
          <cell r="B31" t="str">
            <v>Res. Non Income-Eligible</v>
          </cell>
          <cell r="F31">
            <v>0.35077788139855587</v>
          </cell>
          <cell r="G31">
            <v>0.35880000000000001</v>
          </cell>
        </row>
        <row r="34">
          <cell r="B34" t="str">
            <v xml:space="preserve">C&amp;I </v>
          </cell>
          <cell r="F34">
            <v>0.51422209799409602</v>
          </cell>
          <cell r="G34">
            <v>0.51505999999999996</v>
          </cell>
        </row>
        <row r="35">
          <cell r="B35" t="str">
            <v>C&amp;I Q1</v>
          </cell>
          <cell r="F35">
            <v>0.128555524498524</v>
          </cell>
          <cell r="G35">
            <v>0.12876499999999999</v>
          </cell>
        </row>
        <row r="36">
          <cell r="B36" t="str">
            <v>C&amp;I Q2</v>
          </cell>
          <cell r="F36">
            <v>0.128555524498524</v>
          </cell>
          <cell r="G36">
            <v>0.12876499999999999</v>
          </cell>
        </row>
        <row r="37">
          <cell r="B37" t="str">
            <v>C&amp;I Q3</v>
          </cell>
          <cell r="F37">
            <v>0.128555524498524</v>
          </cell>
          <cell r="G37">
            <v>0.12876499999999999</v>
          </cell>
        </row>
        <row r="38">
          <cell r="B38" t="str">
            <v>C&amp;I Q4</v>
          </cell>
          <cell r="F38">
            <v>0.128555524498524</v>
          </cell>
          <cell r="G38">
            <v>0.12876499999999999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B"/>
      <sheetName val="Input Assumptions"/>
      <sheetName val="Appendix B"/>
      <sheetName val="Appendix C"/>
      <sheetName val="Appendix D"/>
      <sheetName val="Avoided Costs 2021"/>
      <sheetName val="Benefits Table"/>
      <sheetName val="Budgets"/>
      <sheetName val="Input Sheet"/>
      <sheetName val="Savings and Costs"/>
      <sheetName val="$ Calcs"/>
      <sheetName val="Eversource Elect_Table_B"/>
      <sheetName val=" Eversource Gas_Table B"/>
      <sheetName val="Goals Break Down"/>
      <sheetName val="UI Table B"/>
      <sheetName val="UI_Table_B"/>
      <sheetName val="CNG Table B"/>
      <sheetName val="SCG Table B"/>
      <sheetName val="Statewide Tables"/>
      <sheetName val="Comparison"/>
    </sheetNames>
    <sheetDataSet>
      <sheetData sheetId="0"/>
      <sheetData sheetId="1"/>
      <sheetData sheetId="2"/>
      <sheetData sheetId="3"/>
      <sheetData sheetId="4"/>
      <sheetData sheetId="5"/>
      <sheetData sheetId="6"/>
      <sheetData sheetId="7"/>
      <sheetData sheetId="8"/>
      <sheetData sheetId="9"/>
      <sheetData sheetId="10"/>
      <sheetData sheetId="11">
        <row r="7">
          <cell r="K7">
            <v>442798.71160684008</v>
          </cell>
          <cell r="M7">
            <v>11603.652823563591</v>
          </cell>
          <cell r="N7">
            <v>57755.24339629391</v>
          </cell>
          <cell r="O7">
            <v>1461.7628930741066</v>
          </cell>
          <cell r="U7">
            <v>-47397.70529854163</v>
          </cell>
          <cell r="W7">
            <v>-2308.2974762324702</v>
          </cell>
          <cell r="X7">
            <v>29441.049828032737</v>
          </cell>
          <cell r="Y7">
            <v>199853.56081326443</v>
          </cell>
        </row>
        <row r="8">
          <cell r="K8">
            <v>1350.6257650271993</v>
          </cell>
          <cell r="M8">
            <v>3348.0562053083968</v>
          </cell>
          <cell r="N8">
            <v>64402.48684883026</v>
          </cell>
          <cell r="O8">
            <v>545.33392289502149</v>
          </cell>
          <cell r="U8">
            <v>0</v>
          </cell>
          <cell r="W8">
            <v>569722.461737392</v>
          </cell>
          <cell r="X8">
            <v>13504.87786973129</v>
          </cell>
          <cell r="Y8">
            <v>271774.03755868488</v>
          </cell>
        </row>
        <row r="9">
          <cell r="K9">
            <v>19138.077926234888</v>
          </cell>
          <cell r="M9">
            <v>7381.4256347007795</v>
          </cell>
          <cell r="N9">
            <v>90952.856920333084</v>
          </cell>
          <cell r="O9">
            <v>1773.3513745456521</v>
          </cell>
          <cell r="U9">
            <v>13623623.102764554</v>
          </cell>
          <cell r="W9">
            <v>1472924.1479270291</v>
          </cell>
          <cell r="X9">
            <v>122394.75368294056</v>
          </cell>
          <cell r="Y9">
            <v>2334313.5983647685</v>
          </cell>
        </row>
        <row r="10">
          <cell r="K10">
            <v>57580.936774681475</v>
          </cell>
          <cell r="M10">
            <v>6796.0913646368153</v>
          </cell>
          <cell r="N10">
            <v>107282.1581903468</v>
          </cell>
          <cell r="O10">
            <v>1882.8149265155776</v>
          </cell>
          <cell r="U10">
            <v>7014085.1495920615</v>
          </cell>
          <cell r="W10">
            <v>1866175.7844780723</v>
          </cell>
          <cell r="X10">
            <v>100448.68295609718</v>
          </cell>
          <cell r="Y10">
            <v>1509268.0275387687</v>
          </cell>
        </row>
        <row r="11">
          <cell r="K11">
            <v>15591.502727495024</v>
          </cell>
          <cell r="M11">
            <v>5038.1394934810442</v>
          </cell>
          <cell r="N11">
            <v>38116.143217555509</v>
          </cell>
          <cell r="O11">
            <v>673.39734998960182</v>
          </cell>
          <cell r="U11">
            <v>5556780.8317573275</v>
          </cell>
          <cell r="W11">
            <v>510899.46161814209</v>
          </cell>
          <cell r="X11">
            <v>53358.297186047108</v>
          </cell>
          <cell r="Y11">
            <v>938644.49277805607</v>
          </cell>
        </row>
        <row r="12">
          <cell r="K12">
            <v>130000</v>
          </cell>
          <cell r="M12">
            <v>715</v>
          </cell>
          <cell r="N12">
            <v>715</v>
          </cell>
          <cell r="O12">
            <v>81.621004566210047</v>
          </cell>
          <cell r="U12">
            <v>0</v>
          </cell>
          <cell r="W12">
            <v>0</v>
          </cell>
          <cell r="X12">
            <v>2439.58</v>
          </cell>
          <cell r="Y12">
            <v>2439.58</v>
          </cell>
        </row>
        <row r="13">
          <cell r="BQ13">
            <v>28303587.068677131</v>
          </cell>
          <cell r="BY13">
            <v>16176407.659702616</v>
          </cell>
          <cell r="CC13">
            <v>83965917.463411003</v>
          </cell>
          <cell r="CD13">
            <v>14874682.69298709</v>
          </cell>
        </row>
        <row r="15">
          <cell r="K15">
            <v>174.57766292105435</v>
          </cell>
          <cell r="M15">
            <v>24203.317035275639</v>
          </cell>
          <cell r="N15">
            <v>336720.95261510822</v>
          </cell>
          <cell r="O15">
            <v>5100.7189313853514</v>
          </cell>
          <cell r="U15">
            <v>10199.999999999998</v>
          </cell>
          <cell r="W15">
            <v>8160.0000000000009</v>
          </cell>
          <cell r="X15">
            <v>81218.502638458594</v>
          </cell>
          <cell r="Y15">
            <v>1131625.767702329</v>
          </cell>
        </row>
        <row r="16">
          <cell r="K16">
            <v>571.64302419900639</v>
          </cell>
          <cell r="M16">
            <v>64845.766996457744</v>
          </cell>
          <cell r="N16">
            <v>462627.45744859753</v>
          </cell>
          <cell r="O16">
            <v>10882.004074061864</v>
          </cell>
          <cell r="U16">
            <v>20280</v>
          </cell>
          <cell r="W16">
            <v>12168</v>
          </cell>
          <cell r="X16">
            <v>212600.52135159765</v>
          </cell>
          <cell r="Y16">
            <v>1522777.6618577838</v>
          </cell>
        </row>
        <row r="17">
          <cell r="K17">
            <v>189.06264832374376</v>
          </cell>
          <cell r="M17">
            <v>9201.8469466452498</v>
          </cell>
          <cell r="N17">
            <v>69172.428016469275</v>
          </cell>
          <cell r="O17">
            <v>1664.4410220261354</v>
          </cell>
          <cell r="U17">
            <v>10775.042743135007</v>
          </cell>
          <cell r="W17">
            <v>6465.0256458810054</v>
          </cell>
          <cell r="X17">
            <v>31657.306965739055</v>
          </cell>
          <cell r="Y17">
            <v>238101.16586247689</v>
          </cell>
        </row>
        <row r="18">
          <cell r="K18">
            <v>924.71884863884998</v>
          </cell>
          <cell r="M18">
            <v>25677.044528383169</v>
          </cell>
          <cell r="N18">
            <v>203698.10003805702</v>
          </cell>
          <cell r="O18">
            <v>5248.9054608508586</v>
          </cell>
          <cell r="U18">
            <v>12959.999999999998</v>
          </cell>
          <cell r="W18">
            <v>10368</v>
          </cell>
          <cell r="X18">
            <v>84114.829377887756</v>
          </cell>
          <cell r="Y18">
            <v>673085.21313220891</v>
          </cell>
        </row>
        <row r="19">
          <cell r="BQ19">
            <v>92276680.957134411</v>
          </cell>
          <cell r="BY19">
            <v>45516233.611048892</v>
          </cell>
          <cell r="CC19">
            <v>158101.41554310964</v>
          </cell>
          <cell r="CD19">
            <v>124926.64855397132</v>
          </cell>
        </row>
        <row r="21">
          <cell r="E21">
            <v>3307.9654157889186</v>
          </cell>
          <cell r="K21">
            <v>27600</v>
          </cell>
          <cell r="O21">
            <v>15035</v>
          </cell>
        </row>
        <row r="22">
          <cell r="E22">
            <v>10276.470094837256</v>
          </cell>
          <cell r="K22">
            <v>325</v>
          </cell>
          <cell r="O22">
            <v>78100</v>
          </cell>
        </row>
        <row r="34">
          <cell r="K34">
            <v>95518.097083655011</v>
          </cell>
          <cell r="M34">
            <v>6472.7953104785665</v>
          </cell>
          <cell r="N34">
            <v>60395.174542057153</v>
          </cell>
          <cell r="O34">
            <v>788.91533982283033</v>
          </cell>
          <cell r="U34">
            <v>87081.629684020343</v>
          </cell>
          <cell r="W34">
            <v>-82.514012790311199</v>
          </cell>
          <cell r="X34">
            <v>24682.478796277865</v>
          </cell>
          <cell r="Y34">
            <v>239168.1515008251</v>
          </cell>
        </row>
        <row r="35">
          <cell r="K35">
            <v>1076.1683587040816</v>
          </cell>
          <cell r="M35">
            <v>2749.4604686212283</v>
          </cell>
          <cell r="N35">
            <v>54107.385948272917</v>
          </cell>
          <cell r="O35">
            <v>394.49135229343926</v>
          </cell>
          <cell r="U35">
            <v>0</v>
          </cell>
          <cell r="W35">
            <v>527645.47811155522</v>
          </cell>
          <cell r="X35">
            <v>11308.753579572765</v>
          </cell>
          <cell r="Y35">
            <v>232804.26237143553</v>
          </cell>
        </row>
        <row r="36">
          <cell r="K36">
            <v>15903.83289932323</v>
          </cell>
          <cell r="M36">
            <v>4053.8854454815278</v>
          </cell>
          <cell r="N36">
            <v>54469.555471267631</v>
          </cell>
          <cell r="O36">
            <v>1204.9494104799571</v>
          </cell>
          <cell r="U36">
            <v>7664997.3926684074</v>
          </cell>
          <cell r="W36">
            <v>819539.42919308518</v>
          </cell>
          <cell r="X36">
            <v>70787.104081242433</v>
          </cell>
          <cell r="Y36">
            <v>1323757.1477253512</v>
          </cell>
        </row>
        <row r="37">
          <cell r="K37">
            <v>37843.674777995999</v>
          </cell>
          <cell r="M37">
            <v>578.81770772864877</v>
          </cell>
          <cell r="N37">
            <v>-3033.4461816952798</v>
          </cell>
          <cell r="O37">
            <v>1118.7406888718137</v>
          </cell>
          <cell r="U37">
            <v>8673374.2469254211</v>
          </cell>
          <cell r="W37">
            <v>3256671.8190341205</v>
          </cell>
          <cell r="X37">
            <v>95251.658419325628</v>
          </cell>
          <cell r="Y37">
            <v>1620716.7750460124</v>
          </cell>
        </row>
        <row r="38">
          <cell r="K38">
            <v>14936.359670003532</v>
          </cell>
          <cell r="M38">
            <v>3299.2501079897434</v>
          </cell>
          <cell r="N38">
            <v>29679.06694709299</v>
          </cell>
          <cell r="O38">
            <v>339.76944884085049</v>
          </cell>
          <cell r="U38">
            <v>3803279.4509943593</v>
          </cell>
          <cell r="W38">
            <v>318563.2429138791</v>
          </cell>
          <cell r="X38">
            <v>38233.019962613347</v>
          </cell>
          <cell r="Y38">
            <v>657836.1844572135</v>
          </cell>
        </row>
        <row r="39">
          <cell r="K39">
            <v>130000</v>
          </cell>
          <cell r="M39">
            <v>715</v>
          </cell>
          <cell r="N39">
            <v>1430</v>
          </cell>
          <cell r="O39">
            <v>81.621004566210047</v>
          </cell>
          <cell r="U39">
            <v>0</v>
          </cell>
          <cell r="W39">
            <v>0</v>
          </cell>
          <cell r="X39">
            <v>2439.58</v>
          </cell>
          <cell r="Y39">
            <v>4879.16</v>
          </cell>
        </row>
        <row r="40">
          <cell r="BQ40">
            <v>23605721.446361907</v>
          </cell>
          <cell r="BY40">
            <v>11832722.803665346</v>
          </cell>
          <cell r="CC40">
            <v>100853347.20170712</v>
          </cell>
          <cell r="CD40">
            <v>16956481.446560144</v>
          </cell>
        </row>
        <row r="42">
          <cell r="K42">
            <v>144.29929652078692</v>
          </cell>
          <cell r="M42">
            <v>17038.991816487778</v>
          </cell>
          <cell r="N42">
            <v>239121.25542095175</v>
          </cell>
          <cell r="O42">
            <v>3904.1674959900247</v>
          </cell>
          <cell r="U42">
            <v>33846.086266953891</v>
          </cell>
          <cell r="W42">
            <v>42609.129400430837</v>
          </cell>
          <cell r="X42">
            <v>58665.594917356648</v>
          </cell>
          <cell r="Y42">
            <v>824467.32898879249</v>
          </cell>
        </row>
        <row r="43">
          <cell r="K43">
            <v>496.97490668009408</v>
          </cell>
          <cell r="M43">
            <v>55510.053760489194</v>
          </cell>
          <cell r="N43">
            <v>400200.16546696279</v>
          </cell>
          <cell r="O43">
            <v>9435.8255262770635</v>
          </cell>
          <cell r="U43">
            <v>24336</v>
          </cell>
          <cell r="W43">
            <v>16224.000000000002</v>
          </cell>
          <cell r="X43">
            <v>189885.99320678914</v>
          </cell>
          <cell r="Y43">
            <v>1370339.8623332772</v>
          </cell>
        </row>
        <row r="44">
          <cell r="K44">
            <v>172.94507476395808</v>
          </cell>
          <cell r="M44">
            <v>8417.3903320606423</v>
          </cell>
          <cell r="N44">
            <v>63275.484824626692</v>
          </cell>
          <cell r="O44">
            <v>1522.5475764075486</v>
          </cell>
          <cell r="U44">
            <v>10057.623806227557</v>
          </cell>
          <cell r="W44">
            <v>6034.5742837365351</v>
          </cell>
          <cell r="X44">
            <v>28963.389502368329</v>
          </cell>
          <cell r="Y44">
            <v>217841.98373664563</v>
          </cell>
        </row>
        <row r="45">
          <cell r="K45">
            <v>753.13423144607304</v>
          </cell>
          <cell r="M45">
            <v>19651.376986430645</v>
          </cell>
          <cell r="N45">
            <v>156714.68980461912</v>
          </cell>
          <cell r="O45">
            <v>4036.2681052938592</v>
          </cell>
          <cell r="U45">
            <v>14255.999999999998</v>
          </cell>
          <cell r="W45">
            <v>13141.635826125043</v>
          </cell>
          <cell r="X45">
            <v>67227.01995770137</v>
          </cell>
          <cell r="Y45">
            <v>537887.91185336048</v>
          </cell>
        </row>
        <row r="46">
          <cell r="BQ46">
            <v>115666709.74550925</v>
          </cell>
          <cell r="BY46">
            <v>36053792.048917145</v>
          </cell>
          <cell r="CC46">
            <v>243933.16319471758</v>
          </cell>
          <cell r="CD46">
            <v>271640.0071808878</v>
          </cell>
        </row>
        <row r="48">
          <cell r="E48">
            <v>3231.7911238835181</v>
          </cell>
          <cell r="K48">
            <v>25960.000000000004</v>
          </cell>
          <cell r="O48">
            <v>14426.5</v>
          </cell>
        </row>
        <row r="49">
          <cell r="E49">
            <v>11801.486965092108</v>
          </cell>
          <cell r="K49">
            <v>335.5</v>
          </cell>
          <cell r="O49">
            <v>80630.000000000015</v>
          </cell>
        </row>
        <row r="61">
          <cell r="K61">
            <v>61794.062520698753</v>
          </cell>
          <cell r="M61">
            <v>5391.0672190721643</v>
          </cell>
          <cell r="N61">
            <v>54206.241104304077</v>
          </cell>
          <cell r="O61">
            <v>651.66487629281016</v>
          </cell>
          <cell r="U61">
            <v>81467.937149783684</v>
          </cell>
          <cell r="W61">
            <v>0</v>
          </cell>
          <cell r="X61">
            <v>21167.952818059395</v>
          </cell>
          <cell r="Y61">
            <v>215461.64078032237</v>
          </cell>
        </row>
        <row r="62">
          <cell r="K62">
            <v>920.63882838137158</v>
          </cell>
          <cell r="M62">
            <v>2557.6708250607912</v>
          </cell>
          <cell r="N62">
            <v>51704.087011714975</v>
          </cell>
          <cell r="O62">
            <v>304.73811841967159</v>
          </cell>
          <cell r="U62">
            <v>0</v>
          </cell>
          <cell r="W62">
            <v>522547.50056258193</v>
          </cell>
          <cell r="X62">
            <v>10635.743384162644</v>
          </cell>
          <cell r="Y62">
            <v>224138.6081103521</v>
          </cell>
        </row>
        <row r="63">
          <cell r="K63">
            <v>16945.390085031111</v>
          </cell>
          <cell r="M63">
            <v>4364.5711186464086</v>
          </cell>
          <cell r="N63">
            <v>56113.249201680534</v>
          </cell>
          <cell r="O63">
            <v>1263.294449006577</v>
          </cell>
          <cell r="U63">
            <v>7672428.686119522</v>
          </cell>
          <cell r="W63">
            <v>750687.59869645163</v>
          </cell>
          <cell r="X63">
            <v>71667.334356142586</v>
          </cell>
          <cell r="Y63">
            <v>1324107.8391429977</v>
          </cell>
        </row>
        <row r="64">
          <cell r="K64">
            <v>34773.001140178661</v>
          </cell>
          <cell r="M64">
            <v>-1993.791706901329</v>
          </cell>
          <cell r="N64">
            <v>-48525.122280474119</v>
          </cell>
          <cell r="O64">
            <v>614.2059862611552</v>
          </cell>
          <cell r="U64">
            <v>11322928.678333247</v>
          </cell>
          <cell r="W64">
            <v>3885370.6743762321</v>
          </cell>
          <cell r="X64">
            <v>110379.8928890698</v>
          </cell>
          <cell r="Y64">
            <v>1885617.5443108804</v>
          </cell>
        </row>
        <row r="65">
          <cell r="K65">
            <v>14436.419822496449</v>
          </cell>
          <cell r="M65">
            <v>3032.5690707326389</v>
          </cell>
          <cell r="N65">
            <v>28405.784203310304</v>
          </cell>
          <cell r="O65">
            <v>256.28787956783577</v>
          </cell>
          <cell r="U65">
            <v>3621035.5145732509</v>
          </cell>
          <cell r="W65">
            <v>310786.12846642616</v>
          </cell>
          <cell r="X65">
            <v>36091.630189806972</v>
          </cell>
          <cell r="Y65">
            <v>627506.04833069758</v>
          </cell>
        </row>
        <row r="66">
          <cell r="K66">
            <v>130000</v>
          </cell>
          <cell r="M66">
            <v>715</v>
          </cell>
          <cell r="N66">
            <v>1430</v>
          </cell>
          <cell r="O66">
            <v>81.621004566210047</v>
          </cell>
          <cell r="U66">
            <v>0</v>
          </cell>
          <cell r="W66">
            <v>0</v>
          </cell>
          <cell r="X66">
            <v>2439.58</v>
          </cell>
          <cell r="Y66">
            <v>4879.16</v>
          </cell>
        </row>
        <row r="67">
          <cell r="BQ67">
            <v>16993729.345131855</v>
          </cell>
          <cell r="BY67">
            <v>9510888.7180891186</v>
          </cell>
          <cell r="CC67">
            <v>116323820.55471903</v>
          </cell>
          <cell r="CD67">
            <v>19413721.889569744</v>
          </cell>
        </row>
        <row r="69">
          <cell r="K69">
            <v>134.82579484240046</v>
          </cell>
          <cell r="M69">
            <v>15756.316195073783</v>
          </cell>
          <cell r="N69">
            <v>221293.01745361579</v>
          </cell>
          <cell r="O69">
            <v>3966.8047105163878</v>
          </cell>
          <cell r="U69">
            <v>34467.608842264119</v>
          </cell>
          <cell r="W69">
            <v>42521.413263396185</v>
          </cell>
          <cell r="X69">
            <v>54286.497540503726</v>
          </cell>
          <cell r="Y69">
            <v>763715.56889541668</v>
          </cell>
        </row>
        <row r="70">
          <cell r="K70">
            <v>494.82930396613432</v>
          </cell>
          <cell r="M70">
            <v>54318.862007191063</v>
          </cell>
          <cell r="N70">
            <v>405545.50445728586</v>
          </cell>
          <cell r="O70">
            <v>9359.8634164591385</v>
          </cell>
          <cell r="U70">
            <v>28391.999999999996</v>
          </cell>
          <cell r="W70">
            <v>20280.000000000004</v>
          </cell>
          <cell r="X70">
            <v>185914.94305653591</v>
          </cell>
          <cell r="Y70">
            <v>1389511.1200882595</v>
          </cell>
        </row>
        <row r="71">
          <cell r="K71">
            <v>203.83049671855599</v>
          </cell>
          <cell r="M71">
            <v>9920.6112391438273</v>
          </cell>
          <cell r="N71">
            <v>74575.546713394826</v>
          </cell>
          <cell r="O71">
            <v>1794.451962279644</v>
          </cell>
          <cell r="U71">
            <v>8877.6323176562419</v>
          </cell>
          <cell r="W71">
            <v>7112.2596316653344</v>
          </cell>
          <cell r="X71">
            <v>34084.225735245709</v>
          </cell>
          <cell r="Y71">
            <v>256332.5668843989</v>
          </cell>
        </row>
        <row r="72">
          <cell r="K72">
            <v>790.55378223189325</v>
          </cell>
          <cell r="M72">
            <v>19523.265804570088</v>
          </cell>
          <cell r="N72">
            <v>157339.25668546758</v>
          </cell>
          <cell r="O72">
            <v>4212.3109382911534</v>
          </cell>
          <cell r="U72">
            <v>15508.799999999997</v>
          </cell>
          <cell r="W72">
            <v>13105.131282163582</v>
          </cell>
          <cell r="X72">
            <v>66799.372209193127</v>
          </cell>
          <cell r="Y72">
            <v>540189.3509228155</v>
          </cell>
        </row>
        <row r="73">
          <cell r="BQ73">
            <v>113375860.45286702</v>
          </cell>
          <cell r="BY73">
            <v>35473137.376404718</v>
          </cell>
          <cell r="CC73">
            <v>271155.45435015089</v>
          </cell>
          <cell r="CD73">
            <v>298026.30352004507</v>
          </cell>
        </row>
        <row r="75">
          <cell r="E75">
            <v>3622.3944172428828</v>
          </cell>
          <cell r="K75">
            <v>28556.000000000007</v>
          </cell>
          <cell r="O75">
            <v>15869.150000000003</v>
          </cell>
        </row>
        <row r="76">
          <cell r="E76">
            <v>12632.277450403511</v>
          </cell>
          <cell r="K76">
            <v>352.27499999999998</v>
          </cell>
          <cell r="O76">
            <v>84661.499999999985</v>
          </cell>
        </row>
      </sheetData>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ssumptions"/>
      <sheetName val="Appendix B"/>
      <sheetName val="Appendix C"/>
      <sheetName val="Appendix D"/>
      <sheetName val="Avoided Costs 2018"/>
      <sheetName val="Avoided Costs 2019"/>
      <sheetName val="Budgets"/>
      <sheetName val="Input Sheet"/>
      <sheetName val="$ Calcs"/>
      <sheetName val="Benefits Table"/>
      <sheetName val="Savings and Costs"/>
      <sheetName val="EE_Table_B"/>
      <sheetName val="EG_Table_B"/>
      <sheetName val="UI Table B"/>
      <sheetName val="CNG Table B"/>
      <sheetName val="SCG Table B"/>
      <sheetName val="Statewide Tables"/>
      <sheetName val="Cost rates comparison"/>
      <sheetName val="Savings comp"/>
      <sheetName val="Updates"/>
      <sheetName val="NEB and EB rates"/>
    </sheetNames>
    <sheetDataSet>
      <sheetData sheetId="0"/>
      <sheetData sheetId="1"/>
      <sheetData sheetId="2"/>
      <sheetData sheetId="3"/>
      <sheetData sheetId="4"/>
      <sheetData sheetId="5"/>
      <sheetData sheetId="6"/>
      <sheetData sheetId="7"/>
      <sheetData sheetId="8"/>
      <sheetData sheetId="9"/>
      <sheetData sheetId="10"/>
      <sheetData sheetId="11">
        <row r="33">
          <cell r="K33">
            <v>2700950.102607829</v>
          </cell>
        </row>
        <row r="38">
          <cell r="K38"/>
          <cell r="M38"/>
          <cell r="N38"/>
        </row>
        <row r="64">
          <cell r="K64"/>
          <cell r="N64"/>
          <cell r="O64"/>
        </row>
      </sheetData>
      <sheetData sheetId="12">
        <row r="32">
          <cell r="K32">
            <v>624.59199440310385</v>
          </cell>
        </row>
      </sheetData>
      <sheetData sheetId="13">
        <row r="33">
          <cell r="M33">
            <v>7479</v>
          </cell>
        </row>
      </sheetData>
      <sheetData sheetId="14">
        <row r="32">
          <cell r="M32">
            <v>121005.79363381995</v>
          </cell>
        </row>
      </sheetData>
      <sheetData sheetId="15">
        <row r="32">
          <cell r="M32">
            <v>118764.18101784967</v>
          </cell>
        </row>
      </sheetData>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ssumptions"/>
      <sheetName val="Appendix B"/>
      <sheetName val="Appendix C"/>
      <sheetName val="Appendix D"/>
      <sheetName val="Avoided Costs 2018"/>
      <sheetName val="Avoided Costs 2019"/>
      <sheetName val="Budgets"/>
      <sheetName val="Input Sheet"/>
      <sheetName val="$ Calcs"/>
      <sheetName val="Benefits Table"/>
      <sheetName val="Sheet1"/>
      <sheetName val="Savings and Costs"/>
      <sheetName val="EE_Table_B"/>
      <sheetName val="EG_Table_B"/>
      <sheetName val="UI Table B"/>
      <sheetName val="CNG Table B"/>
      <sheetName val="SCG Table B"/>
      <sheetName val="Statewide Tables"/>
      <sheetName val="Cost rates comparison"/>
      <sheetName val="Savings comp"/>
      <sheetName val="Updates"/>
      <sheetName val="NEB and EB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3">
          <cell r="M33">
            <v>27940.918604205748</v>
          </cell>
        </row>
        <row r="65">
          <cell r="BY65">
            <v>36703140.821520098</v>
          </cell>
          <cell r="CG65">
            <v>30109674.259940874</v>
          </cell>
        </row>
        <row r="71">
          <cell r="BY71">
            <v>137104519.97130215</v>
          </cell>
          <cell r="CG71">
            <v>98383583.119917661</v>
          </cell>
        </row>
      </sheetData>
      <sheetData sheetId="13">
        <row r="32">
          <cell r="M32">
            <v>159795.61584809009</v>
          </cell>
        </row>
      </sheetData>
      <sheetData sheetId="14">
        <row r="33">
          <cell r="M33">
            <v>7478.8336831956458</v>
          </cell>
        </row>
      </sheetData>
      <sheetData sheetId="15">
        <row r="32">
          <cell r="M32">
            <v>121005.79363381995</v>
          </cell>
        </row>
      </sheetData>
      <sheetData sheetId="16">
        <row r="32">
          <cell r="M32">
            <v>118764.18101784967</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AD59"/>
  <sheetViews>
    <sheetView showGridLines="0" topLeftCell="B1" zoomScale="66" zoomScaleNormal="66" zoomScalePageLayoutView="50" workbookViewId="0">
      <pane ySplit="10" topLeftCell="A11" activePane="bottomLeft" state="frozen"/>
      <selection pane="bottomLeft" activeCell="C5" sqref="C5"/>
    </sheetView>
  </sheetViews>
  <sheetFormatPr defaultColWidth="9.140625" defaultRowHeight="15" x14ac:dyDescent="0.2"/>
  <cols>
    <col min="1" max="1" width="7.85546875" style="2" hidden="1" customWidth="1"/>
    <col min="2" max="2" width="7.85546875" style="189" customWidth="1"/>
    <col min="3" max="3" width="63.140625" style="2" customWidth="1"/>
    <col min="4" max="4" width="0.28515625" style="78" customWidth="1"/>
    <col min="5" max="5" width="23.140625" style="5" hidden="1" customWidth="1"/>
    <col min="6" max="6" width="18.85546875" style="5" hidden="1" customWidth="1"/>
    <col min="7" max="7" width="22.5703125" style="78" hidden="1" customWidth="1"/>
    <col min="8" max="8" width="0.85546875" style="2" customWidth="1"/>
    <col min="9" max="9" width="22.28515625" style="2" customWidth="1"/>
    <col min="10" max="10" width="19.42578125" style="2" customWidth="1"/>
    <col min="11" max="11" width="21" style="2" customWidth="1"/>
    <col min="12" max="12" width="0.85546875" style="2" customWidth="1"/>
    <col min="13" max="13" width="21.28515625" style="2" customWidth="1"/>
    <col min="14" max="14" width="19.42578125" style="2" customWidth="1"/>
    <col min="15" max="15" width="21.5703125" style="2" customWidth="1"/>
    <col min="16" max="16" width="0.85546875" style="2" customWidth="1"/>
    <col min="17" max="17" width="21.28515625" style="2" customWidth="1"/>
    <col min="18" max="18" width="19.42578125" style="2" customWidth="1"/>
    <col min="19" max="19" width="21.5703125" style="2" customWidth="1"/>
    <col min="20" max="20" width="0.85546875" style="2" customWidth="1"/>
    <col min="21" max="21" width="21.28515625" style="2" customWidth="1"/>
    <col min="22" max="22" width="19.42578125" style="2" customWidth="1"/>
    <col min="23" max="23" width="21.5703125" style="2" customWidth="1"/>
    <col min="24" max="24" width="0.85546875" style="2" customWidth="1"/>
    <col min="25" max="25" width="21.28515625" style="2" customWidth="1"/>
    <col min="26" max="26" width="19.42578125" style="2" customWidth="1"/>
    <col min="27" max="27" width="21.5703125" style="2" customWidth="1"/>
    <col min="28" max="29" width="9.140625" style="2"/>
    <col min="30" max="30" width="14.28515625" style="2" bestFit="1" customWidth="1"/>
    <col min="31" max="16384" width="9.140625" style="2"/>
  </cols>
  <sheetData>
    <row r="1" spans="1:30" ht="15.75" x14ac:dyDescent="0.25">
      <c r="C1" s="19" t="s">
        <v>13</v>
      </c>
      <c r="E1" s="229" t="s">
        <v>13</v>
      </c>
    </row>
    <row r="2" spans="1:30" s="110" customFormat="1" ht="23.25" x14ac:dyDescent="0.35">
      <c r="B2" s="468"/>
      <c r="C2" s="565" t="s">
        <v>110</v>
      </c>
      <c r="D2" s="185"/>
      <c r="E2" s="185"/>
      <c r="F2" s="185"/>
      <c r="G2" s="185"/>
      <c r="H2" s="109"/>
      <c r="I2" s="109"/>
      <c r="L2" s="527"/>
      <c r="M2" s="527"/>
      <c r="P2" s="569"/>
      <c r="Q2" s="569"/>
      <c r="T2" s="235"/>
      <c r="U2" s="235"/>
      <c r="X2" s="569"/>
      <c r="Y2" s="789"/>
    </row>
    <row r="3" spans="1:30" s="110" customFormat="1" ht="20.25" customHeight="1" x14ac:dyDescent="0.35">
      <c r="A3" s="111"/>
      <c r="B3" s="468"/>
      <c r="C3" s="570" t="s">
        <v>415</v>
      </c>
      <c r="D3" s="215"/>
      <c r="E3" s="215" t="s">
        <v>13</v>
      </c>
      <c r="F3" s="215" t="s">
        <v>13</v>
      </c>
      <c r="G3" s="215"/>
      <c r="H3" s="527"/>
      <c r="I3" s="527"/>
      <c r="L3" s="527"/>
      <c r="M3" s="527"/>
      <c r="P3" s="569"/>
      <c r="Q3" s="569"/>
      <c r="T3" s="527"/>
      <c r="U3" s="527"/>
      <c r="X3" s="569"/>
      <c r="Y3" s="789"/>
    </row>
    <row r="4" spans="1:30" s="110" customFormat="1" ht="20.25" customHeight="1" x14ac:dyDescent="0.35">
      <c r="A4" s="111"/>
      <c r="B4" s="468"/>
      <c r="C4" s="566" t="s">
        <v>539</v>
      </c>
      <c r="D4" s="215"/>
      <c r="E4" s="215" t="s">
        <v>13</v>
      </c>
      <c r="F4" s="215"/>
      <c r="G4" s="186"/>
      <c r="H4" s="109"/>
      <c r="I4" s="109"/>
      <c r="L4" s="527"/>
      <c r="M4" s="527"/>
      <c r="P4" s="569"/>
      <c r="Q4" s="569"/>
      <c r="T4" s="235"/>
      <c r="U4" s="235"/>
      <c r="X4" s="569"/>
      <c r="Y4" s="789"/>
    </row>
    <row r="5" spans="1:30" ht="22.5" customHeight="1" thickBot="1" x14ac:dyDescent="0.3">
      <c r="A5" s="5"/>
      <c r="C5" s="79"/>
      <c r="D5"/>
      <c r="E5" s="528" t="s">
        <v>13</v>
      </c>
      <c r="F5" s="101" t="s">
        <v>13</v>
      </c>
      <c r="G5"/>
    </row>
    <row r="6" spans="1:30" s="81" customFormat="1" ht="17.25" customHeight="1" x14ac:dyDescent="0.25">
      <c r="A6" s="80"/>
      <c r="B6" s="469"/>
      <c r="C6" s="854" t="s">
        <v>312</v>
      </c>
      <c r="D6" s="249"/>
      <c r="E6" s="249">
        <v>2020</v>
      </c>
      <c r="F6" s="249">
        <f>E6</f>
        <v>2020</v>
      </c>
      <c r="G6" s="250">
        <f>F6</f>
        <v>2020</v>
      </c>
      <c r="H6" s="251"/>
      <c r="I6" s="250">
        <v>2021</v>
      </c>
      <c r="J6" s="249">
        <v>2021</v>
      </c>
      <c r="K6" s="250">
        <v>2021</v>
      </c>
      <c r="L6" s="251"/>
      <c r="M6" s="250">
        <v>2022</v>
      </c>
      <c r="N6" s="249">
        <v>2022</v>
      </c>
      <c r="O6" s="250">
        <v>2022</v>
      </c>
      <c r="P6" s="251"/>
      <c r="Q6" s="250">
        <v>2023</v>
      </c>
      <c r="R6" s="249">
        <v>2023</v>
      </c>
      <c r="S6" s="250">
        <v>2023</v>
      </c>
      <c r="T6" s="251"/>
      <c r="U6" s="250">
        <v>2024</v>
      </c>
      <c r="V6" s="249">
        <v>2024</v>
      </c>
      <c r="W6" s="250">
        <v>2024</v>
      </c>
      <c r="X6" s="251"/>
      <c r="Y6" s="250">
        <v>2025</v>
      </c>
      <c r="Z6" s="249">
        <f>Y6</f>
        <v>2025</v>
      </c>
      <c r="AA6" s="250">
        <f>Y6</f>
        <v>2025</v>
      </c>
    </row>
    <row r="7" spans="1:30" ht="39.75" customHeight="1" x14ac:dyDescent="0.25">
      <c r="A7" s="22"/>
      <c r="B7" s="470"/>
      <c r="C7" s="855"/>
      <c r="D7" s="253"/>
      <c r="E7" s="253" t="s">
        <v>169</v>
      </c>
      <c r="F7" s="253" t="s">
        <v>107</v>
      </c>
      <c r="G7" s="254" t="s">
        <v>170</v>
      </c>
      <c r="H7" s="255"/>
      <c r="I7" s="254" t="s">
        <v>169</v>
      </c>
      <c r="J7" s="253" t="s">
        <v>107</v>
      </c>
      <c r="K7" s="254" t="s">
        <v>170</v>
      </c>
      <c r="L7" s="255"/>
      <c r="M7" s="526" t="s">
        <v>169</v>
      </c>
      <c r="N7" s="253" t="s">
        <v>107</v>
      </c>
      <c r="O7" s="526" t="s">
        <v>170</v>
      </c>
      <c r="P7" s="255"/>
      <c r="Q7" s="567" t="s">
        <v>169</v>
      </c>
      <c r="R7" s="253" t="s">
        <v>107</v>
      </c>
      <c r="S7" s="567" t="s">
        <v>170</v>
      </c>
      <c r="T7" s="255"/>
      <c r="U7" s="254" t="s">
        <v>169</v>
      </c>
      <c r="V7" s="253" t="s">
        <v>107</v>
      </c>
      <c r="W7" s="254" t="s">
        <v>170</v>
      </c>
      <c r="X7" s="255"/>
      <c r="Y7" s="788" t="s">
        <v>169</v>
      </c>
      <c r="Z7" s="253" t="s">
        <v>107</v>
      </c>
      <c r="AA7" s="788" t="s">
        <v>170</v>
      </c>
    </row>
    <row r="8" spans="1:30" ht="18.75" customHeight="1" x14ac:dyDescent="0.25">
      <c r="A8" s="22"/>
      <c r="B8" s="470"/>
      <c r="C8" s="855"/>
      <c r="D8" s="256"/>
      <c r="E8" s="254" t="s">
        <v>98</v>
      </c>
      <c r="F8" s="254" t="s">
        <v>98</v>
      </c>
      <c r="G8" s="256" t="s">
        <v>144</v>
      </c>
      <c r="H8" s="255"/>
      <c r="I8" s="254" t="s">
        <v>98</v>
      </c>
      <c r="J8" s="698" t="s">
        <v>98</v>
      </c>
      <c r="K8" s="256" t="s">
        <v>144</v>
      </c>
      <c r="L8" s="255"/>
      <c r="M8" s="526" t="s">
        <v>191</v>
      </c>
      <c r="N8" s="526" t="s">
        <v>191</v>
      </c>
      <c r="O8" s="256" t="s">
        <v>144</v>
      </c>
      <c r="P8" s="255"/>
      <c r="Q8" s="567" t="s">
        <v>191</v>
      </c>
      <c r="R8" s="567" t="s">
        <v>191</v>
      </c>
      <c r="S8" s="256" t="s">
        <v>144</v>
      </c>
      <c r="T8" s="255"/>
      <c r="U8" s="254" t="s">
        <v>191</v>
      </c>
      <c r="V8" s="254" t="s">
        <v>191</v>
      </c>
      <c r="W8" s="256" t="s">
        <v>144</v>
      </c>
      <c r="X8" s="255"/>
      <c r="Y8" s="788" t="s">
        <v>191</v>
      </c>
      <c r="Z8" s="788" t="s">
        <v>191</v>
      </c>
      <c r="AA8" s="256" t="s">
        <v>144</v>
      </c>
    </row>
    <row r="9" spans="1:30" ht="18.75" customHeight="1" x14ac:dyDescent="0.25">
      <c r="A9" s="22"/>
      <c r="B9" s="470"/>
      <c r="C9" s="855"/>
      <c r="D9" s="256"/>
      <c r="E9" s="254" t="s">
        <v>263</v>
      </c>
      <c r="F9" s="254" t="s">
        <v>263</v>
      </c>
      <c r="G9" s="256" t="s">
        <v>9</v>
      </c>
      <c r="H9" s="255"/>
      <c r="I9" s="254" t="s">
        <v>263</v>
      </c>
      <c r="J9" s="698" t="s">
        <v>263</v>
      </c>
      <c r="K9" s="256" t="s">
        <v>9</v>
      </c>
      <c r="L9" s="255"/>
      <c r="M9" s="526" t="s">
        <v>10</v>
      </c>
      <c r="N9" s="526" t="s">
        <v>10</v>
      </c>
      <c r="O9" s="256" t="s">
        <v>9</v>
      </c>
      <c r="P9" s="255"/>
      <c r="Q9" s="567" t="s">
        <v>10</v>
      </c>
      <c r="R9" s="567" t="s">
        <v>10</v>
      </c>
      <c r="S9" s="256" t="s">
        <v>9</v>
      </c>
      <c r="T9" s="255"/>
      <c r="U9" s="254" t="s">
        <v>10</v>
      </c>
      <c r="V9" s="254" t="s">
        <v>10</v>
      </c>
      <c r="W9" s="256" t="s">
        <v>9</v>
      </c>
      <c r="X9" s="255"/>
      <c r="Y9" s="788" t="s">
        <v>10</v>
      </c>
      <c r="Z9" s="788" t="s">
        <v>10</v>
      </c>
      <c r="AA9" s="256" t="s">
        <v>9</v>
      </c>
    </row>
    <row r="10" spans="1:30" ht="24" customHeight="1" thickBot="1" x14ac:dyDescent="0.3">
      <c r="A10" s="22"/>
      <c r="B10" s="470"/>
      <c r="C10" s="252"/>
      <c r="D10" s="258"/>
      <c r="E10" s="257">
        <v>44196</v>
      </c>
      <c r="F10" s="257">
        <v>44196</v>
      </c>
      <c r="G10" s="258">
        <v>44196</v>
      </c>
      <c r="H10" s="255"/>
      <c r="I10" s="257">
        <v>44561</v>
      </c>
      <c r="J10" s="257">
        <v>44561</v>
      </c>
      <c r="K10" s="258">
        <f>J10</f>
        <v>44561</v>
      </c>
      <c r="L10" s="255"/>
      <c r="M10" s="257">
        <v>44866</v>
      </c>
      <c r="N10" s="257">
        <f>M10</f>
        <v>44866</v>
      </c>
      <c r="O10" s="258">
        <f>N10</f>
        <v>44866</v>
      </c>
      <c r="P10" s="255"/>
      <c r="Q10" s="257">
        <f>O10</f>
        <v>44866</v>
      </c>
      <c r="R10" s="257">
        <f>Q10</f>
        <v>44866</v>
      </c>
      <c r="S10" s="258">
        <f>R10</f>
        <v>44866</v>
      </c>
      <c r="T10" s="255"/>
      <c r="U10" s="257">
        <f>O10</f>
        <v>44866</v>
      </c>
      <c r="V10" s="257">
        <f>U10</f>
        <v>44866</v>
      </c>
      <c r="W10" s="258">
        <f>V10</f>
        <v>44866</v>
      </c>
      <c r="X10" s="255"/>
      <c r="Y10" s="257">
        <f>S10</f>
        <v>44866</v>
      </c>
      <c r="Z10" s="257">
        <f>Y10</f>
        <v>44866</v>
      </c>
      <c r="AA10" s="258">
        <f>Z10</f>
        <v>44866</v>
      </c>
    </row>
    <row r="11" spans="1:30" ht="17.25" customHeight="1" thickBot="1" x14ac:dyDescent="0.3">
      <c r="A11" s="22"/>
      <c r="B11" s="470"/>
      <c r="C11" s="857" t="s">
        <v>15</v>
      </c>
      <c r="D11" s="857"/>
      <c r="E11" s="857"/>
      <c r="F11" s="857"/>
      <c r="G11" s="857"/>
      <c r="H11" s="857"/>
      <c r="I11" s="857"/>
      <c r="J11" s="857"/>
      <c r="K11" s="857"/>
      <c r="L11" s="857"/>
      <c r="M11" s="857"/>
      <c r="N11" s="857"/>
      <c r="O11" s="857"/>
      <c r="P11" s="857"/>
      <c r="Q11" s="857"/>
      <c r="R11" s="857"/>
      <c r="S11" s="857"/>
      <c r="T11" s="857"/>
      <c r="U11" s="857"/>
      <c r="V11" s="857"/>
      <c r="W11" s="857"/>
      <c r="X11" s="571"/>
      <c r="Y11" s="571"/>
      <c r="Z11" s="571"/>
      <c r="AA11" s="571"/>
    </row>
    <row r="12" spans="1:30" ht="18.75" thickBot="1" x14ac:dyDescent="0.3">
      <c r="A12" s="22" t="s">
        <v>29</v>
      </c>
      <c r="B12" s="470"/>
      <c r="C12" s="238" t="s">
        <v>114</v>
      </c>
      <c r="D12" s="241"/>
      <c r="E12" s="239">
        <f>'ES CT Electric Table A  '!E10</f>
        <v>11189454.880000001</v>
      </c>
      <c r="F12" s="240">
        <f>'[13]Table A '!$J$13</f>
        <v>2795488.255236106</v>
      </c>
      <c r="G12" s="241">
        <f>SUM(E12,F12)</f>
        <v>13984943.135236107</v>
      </c>
      <c r="H12" s="242"/>
      <c r="I12" s="239">
        <f>'ES CT Electric Table A  '!G10</f>
        <v>8656062</v>
      </c>
      <c r="J12" s="240">
        <f>'[14]Table A '!$F$12</f>
        <v>1959310</v>
      </c>
      <c r="K12" s="241">
        <f t="shared" ref="K12:K17" si="0">SUM(I12,J12)</f>
        <v>10615372</v>
      </c>
      <c r="L12" s="242"/>
      <c r="M12" s="239">
        <f>'ES CT Electric Table A  '!J10</f>
        <v>4158000</v>
      </c>
      <c r="N12" s="240">
        <f>'[14]Table A '!$H$12</f>
        <v>757358.32923236419</v>
      </c>
      <c r="O12" s="241">
        <f t="shared" ref="O12:O17" si="1">SUM(M12,N12)</f>
        <v>4915358.329232364</v>
      </c>
      <c r="P12" s="242"/>
      <c r="Q12" s="239">
        <f>'ES CT Electric Table A  '!N10</f>
        <v>3558000</v>
      </c>
      <c r="R12" s="240">
        <f>'[15]Table A '!K12</f>
        <v>1001887.299320336</v>
      </c>
      <c r="S12" s="241">
        <f t="shared" ref="S12:S17" si="2">SUM(Q12,R12)</f>
        <v>4559887.2993203364</v>
      </c>
      <c r="T12" s="242"/>
      <c r="U12" s="239">
        <f>'ES CT Electric Table A  '!Q10</f>
        <v>3300000</v>
      </c>
      <c r="V12" s="240">
        <f>'[15]Table A '!N12</f>
        <v>986338.33051023865</v>
      </c>
      <c r="W12" s="241">
        <f t="shared" ref="W12:W17" si="3">SUM(U12,V12)</f>
        <v>4286338.3305102382</v>
      </c>
      <c r="X12" s="242"/>
      <c r="Y12" s="239">
        <f>'ES CT Electric Table A  '!R10</f>
        <v>3300000</v>
      </c>
      <c r="Z12" s="240">
        <f>'[15]Table A '!O12</f>
        <v>979194.31275183032</v>
      </c>
      <c r="AA12" s="241">
        <f t="shared" ref="AA12:AA17" si="4">SUM(Y12,Z12)</f>
        <v>4279194.3127518306</v>
      </c>
      <c r="AD12" s="187"/>
    </row>
    <row r="13" spans="1:30" s="82" customFormat="1" ht="18.75" thickBot="1" x14ac:dyDescent="0.3">
      <c r="A13" s="22" t="s">
        <v>29</v>
      </c>
      <c r="B13" s="470"/>
      <c r="C13" s="243" t="s">
        <v>115</v>
      </c>
      <c r="D13" s="241"/>
      <c r="E13" s="239">
        <f>'ES CT Electric Table A  '!E11</f>
        <v>2717015.95</v>
      </c>
      <c r="F13" s="240">
        <f>'[13]Table A '!$J$14</f>
        <v>423434.8368133055</v>
      </c>
      <c r="G13" s="241">
        <f>SUM(E13,F13)</f>
        <v>3140450.7868133057</v>
      </c>
      <c r="H13" s="244"/>
      <c r="I13" s="239">
        <f>'ES CT Electric Table A  '!G11</f>
        <v>2965128</v>
      </c>
      <c r="J13" s="240">
        <f>'[14]Table A '!$F$13</f>
        <v>770213</v>
      </c>
      <c r="K13" s="241">
        <f t="shared" si="0"/>
        <v>3735341</v>
      </c>
      <c r="L13" s="244"/>
      <c r="M13" s="239">
        <f>'ES CT Electric Table A  '!J11</f>
        <v>3986389</v>
      </c>
      <c r="N13" s="240">
        <f>'[14]Table A '!$H$13</f>
        <v>623385.84514738608</v>
      </c>
      <c r="O13" s="241">
        <f t="shared" si="1"/>
        <v>4609774.8451473862</v>
      </c>
      <c r="P13" s="244"/>
      <c r="Q13" s="239">
        <f>'ES CT Electric Table A  '!N11</f>
        <v>3505832</v>
      </c>
      <c r="R13" s="240">
        <f>'[15]Table A '!K13</f>
        <v>561641.63007863215</v>
      </c>
      <c r="S13" s="241">
        <f t="shared" si="2"/>
        <v>4067473.6300786324</v>
      </c>
      <c r="T13" s="244"/>
      <c r="U13" s="239">
        <f>'ES CT Electric Table A  '!Q11</f>
        <v>3482786</v>
      </c>
      <c r="V13" s="240">
        <f>'[15]Table A '!N13</f>
        <v>552925.13252998656</v>
      </c>
      <c r="W13" s="241">
        <f t="shared" si="3"/>
        <v>4035711.1325299866</v>
      </c>
      <c r="X13" s="244"/>
      <c r="Y13" s="239">
        <f>'ES CT Electric Table A  '!R11</f>
        <v>3450386</v>
      </c>
      <c r="Z13" s="240">
        <f>'[15]Table A '!O13</f>
        <v>548920.31304393744</v>
      </c>
      <c r="AA13" s="241">
        <f t="shared" si="4"/>
        <v>3999306.3130439376</v>
      </c>
      <c r="AD13" s="187"/>
    </row>
    <row r="14" spans="1:30" s="82" customFormat="1" ht="18.75" thickBot="1" x14ac:dyDescent="0.3">
      <c r="A14" s="22" t="s">
        <v>29</v>
      </c>
      <c r="B14" s="470"/>
      <c r="C14" s="238" t="s">
        <v>376</v>
      </c>
      <c r="D14" s="241"/>
      <c r="E14" s="239">
        <f>'ES CT Electric Table A  '!E12</f>
        <v>20042757.780000001</v>
      </c>
      <c r="F14" s="240">
        <f>'[13]Table A '!$J$15</f>
        <v>3521887.5323428717</v>
      </c>
      <c r="G14" s="241">
        <f>SUM(E14,F14)</f>
        <v>23564645.312342875</v>
      </c>
      <c r="H14" s="244"/>
      <c r="I14" s="239">
        <f>'ES CT Electric Table A  '!G12</f>
        <v>33889599</v>
      </c>
      <c r="J14" s="240">
        <f>'[14]Table A '!$F$14</f>
        <v>6327483</v>
      </c>
      <c r="K14" s="241">
        <f t="shared" si="0"/>
        <v>40217082</v>
      </c>
      <c r="L14" s="244"/>
      <c r="M14" s="239">
        <f>'ES CT Electric Table A  '!J12</f>
        <v>24661742.699999999</v>
      </c>
      <c r="N14" s="240">
        <f>'[14]Table A '!$H$14</f>
        <v>3744833.6974162431</v>
      </c>
      <c r="O14" s="241">
        <f t="shared" si="1"/>
        <v>28406576.397416241</v>
      </c>
      <c r="P14" s="244"/>
      <c r="Q14" s="239">
        <f>'ES CT Electric Table A  '!N12</f>
        <v>20600573.699999999</v>
      </c>
      <c r="R14" s="240">
        <f>'[15]Table A '!K14</f>
        <v>3962536.7595237829</v>
      </c>
      <c r="S14" s="241">
        <f t="shared" si="2"/>
        <v>24563110.459523782</v>
      </c>
      <c r="T14" s="244"/>
      <c r="U14" s="239">
        <f>'ES CT Electric Table A  '!Q12</f>
        <v>21190531.699999999</v>
      </c>
      <c r="V14" s="240">
        <f>'[15]Table A '!N14</f>
        <v>3901039.4628473036</v>
      </c>
      <c r="W14" s="241">
        <f t="shared" si="3"/>
        <v>25091571.162847303</v>
      </c>
      <c r="X14" s="244"/>
      <c r="Y14" s="239">
        <f>'ES CT Electric Table A  '!R12</f>
        <v>20974531.699999999</v>
      </c>
      <c r="Z14" s="240">
        <v>3882341</v>
      </c>
      <c r="AA14" s="241">
        <f t="shared" si="4"/>
        <v>24856872.699999999</v>
      </c>
      <c r="AD14" s="187"/>
    </row>
    <row r="15" spans="1:30" s="82" customFormat="1" ht="18.75" thickBot="1" x14ac:dyDescent="0.3">
      <c r="A15" s="22" t="s">
        <v>29</v>
      </c>
      <c r="B15" s="470"/>
      <c r="C15" s="238" t="s">
        <v>520</v>
      </c>
      <c r="D15" s="241"/>
      <c r="E15" s="239">
        <f>'ES CT Electric Table A  '!E13</f>
        <v>9702174.9299999997</v>
      </c>
      <c r="F15" s="240">
        <f>'[13]Table A '!$J$16</f>
        <v>1322749.4031764038</v>
      </c>
      <c r="G15" s="241">
        <f>E15+F15</f>
        <v>11024924.333176404</v>
      </c>
      <c r="H15" s="244"/>
      <c r="I15" s="239">
        <f>'ES CT Electric Table A  '!G13</f>
        <v>12072073</v>
      </c>
      <c r="J15" s="240">
        <f>'[14]Table A '!$F$15</f>
        <v>2249235</v>
      </c>
      <c r="K15" s="241">
        <f t="shared" si="0"/>
        <v>14321308</v>
      </c>
      <c r="L15" s="244"/>
      <c r="M15" s="239">
        <f>'ES CT Electric Table A  '!J13</f>
        <v>14463704</v>
      </c>
      <c r="N15" s="240">
        <f>'[14]Table A '!$H$15</f>
        <v>2228156.1926248251</v>
      </c>
      <c r="O15" s="241">
        <f t="shared" si="1"/>
        <v>16691860.192624826</v>
      </c>
      <c r="P15" s="244"/>
      <c r="Q15" s="239">
        <f>'ES CT Electric Table A  '!N13</f>
        <v>13928670</v>
      </c>
      <c r="R15" s="240">
        <f>'[15]Table A '!K15</f>
        <v>2168933.7526062755</v>
      </c>
      <c r="S15" s="241">
        <f t="shared" si="2"/>
        <v>16097603.752606276</v>
      </c>
      <c r="T15" s="244"/>
      <c r="U15" s="239">
        <f>'ES CT Electric Table A  '!Q13</f>
        <v>13506628</v>
      </c>
      <c r="V15" s="240">
        <f>'[15]Table A '!N15</f>
        <v>2135272.5980100241</v>
      </c>
      <c r="W15" s="241">
        <f t="shared" si="3"/>
        <v>15641900.598010024</v>
      </c>
      <c r="X15" s="244"/>
      <c r="Y15" s="239">
        <f>'ES CT Electric Table A  '!R13</f>
        <v>13377028</v>
      </c>
      <c r="Z15" s="240">
        <f>'[15]Table A '!O15</f>
        <v>2119806.8851938806</v>
      </c>
      <c r="AA15" s="241">
        <f t="shared" si="4"/>
        <v>15496834.885193881</v>
      </c>
      <c r="AD15" s="187"/>
    </row>
    <row r="16" spans="1:30" ht="18.75" thickBot="1" x14ac:dyDescent="0.3">
      <c r="A16" s="22" t="s">
        <v>29</v>
      </c>
      <c r="B16" s="470"/>
      <c r="C16" s="238" t="s">
        <v>276</v>
      </c>
      <c r="D16" s="241"/>
      <c r="E16" s="239">
        <f>'ES CT Electric Table A  '!E14</f>
        <v>14316610.92</v>
      </c>
      <c r="F16" s="240">
        <f>'[13]Table A '!$J$17</f>
        <v>2076231.0832268898</v>
      </c>
      <c r="G16" s="241">
        <f>SUM(E16,F16)</f>
        <v>16392842.003226889</v>
      </c>
      <c r="H16" s="242"/>
      <c r="I16" s="239">
        <f>'ES CT Electric Table A  '!G14</f>
        <v>19925766</v>
      </c>
      <c r="J16" s="240">
        <f>'[14]Table A '!$F$16</f>
        <v>4956531.4000000004</v>
      </c>
      <c r="K16" s="241">
        <f t="shared" si="0"/>
        <v>24882297.399999999</v>
      </c>
      <c r="L16" s="242"/>
      <c r="M16" s="239">
        <f>'ES CT Electric Table A  '!J14</f>
        <v>18444360</v>
      </c>
      <c r="N16" s="240">
        <f>'[14]Table A '!$H$16</f>
        <v>3947342.8326474186</v>
      </c>
      <c r="O16" s="241">
        <f t="shared" si="1"/>
        <v>22391702.83264742</v>
      </c>
      <c r="P16" s="242"/>
      <c r="Q16" s="239">
        <f>'ES CT Electric Table A  '!N14</f>
        <v>15983645</v>
      </c>
      <c r="R16" s="240">
        <f>'[15]Table A '!K16</f>
        <v>4330201.0743051684</v>
      </c>
      <c r="S16" s="241">
        <f t="shared" si="2"/>
        <v>20313846.074305169</v>
      </c>
      <c r="T16" s="242"/>
      <c r="U16" s="239">
        <f>'ES CT Electric Table A  '!Q14</f>
        <v>15732025</v>
      </c>
      <c r="V16" s="240">
        <f>'[15]Table A '!N16</f>
        <v>4262997.7456558319</v>
      </c>
      <c r="W16" s="241">
        <f t="shared" si="3"/>
        <v>19995022.745655831</v>
      </c>
      <c r="X16" s="242"/>
      <c r="Y16" s="239">
        <f>'ES CT Electric Table A  '!R14</f>
        <v>15570025</v>
      </c>
      <c r="Z16" s="240">
        <f>'[15]Table A '!O16</f>
        <v>4232120.9859710839</v>
      </c>
      <c r="AA16" s="241">
        <f t="shared" si="4"/>
        <v>19802145.985971086</v>
      </c>
      <c r="AD16" s="187"/>
    </row>
    <row r="17" spans="1:30" ht="19.5" customHeight="1" thickBot="1" x14ac:dyDescent="0.3">
      <c r="A17" s="22" t="s">
        <v>29</v>
      </c>
      <c r="B17" s="470"/>
      <c r="C17" s="238" t="s">
        <v>140</v>
      </c>
      <c r="D17" s="241"/>
      <c r="E17" s="239">
        <f>'ES CT Electric Table A  '!E15</f>
        <v>0</v>
      </c>
      <c r="F17" s="240">
        <f>'[13]Table A '!$J$18</f>
        <v>193395.72000000003</v>
      </c>
      <c r="G17" s="241">
        <f>SUM(E17,F17)</f>
        <v>193395.72000000003</v>
      </c>
      <c r="H17" s="242"/>
      <c r="I17" s="239">
        <f>'ES CT Electric Table A  '!G15</f>
        <v>0</v>
      </c>
      <c r="J17" s="240">
        <f>'[14]Table A '!$F$17</f>
        <v>68544.399999999994</v>
      </c>
      <c r="K17" s="241">
        <f t="shared" si="0"/>
        <v>68544.399999999994</v>
      </c>
      <c r="L17" s="242"/>
      <c r="M17" s="239">
        <f>'ES CT Electric Table A  '!J15</f>
        <v>90000</v>
      </c>
      <c r="N17" s="240">
        <f>'[14]Table A '!$H$17</f>
        <v>281839.37502791377</v>
      </c>
      <c r="O17" s="241">
        <f t="shared" si="1"/>
        <v>371839.37502791377</v>
      </c>
      <c r="P17" s="242"/>
      <c r="Q17" s="239">
        <f>'ES CT Electric Table A  '!N15</f>
        <v>90000</v>
      </c>
      <c r="R17" s="240">
        <f>'[15]Table A '!K17</f>
        <v>199044.18152319355</v>
      </c>
      <c r="S17" s="241">
        <f t="shared" si="2"/>
        <v>289044.18152319355</v>
      </c>
      <c r="T17" s="242"/>
      <c r="U17" s="239">
        <f>'ES CT Electric Table A  '!Q15</f>
        <v>90000</v>
      </c>
      <c r="V17" s="240">
        <f>'[15]Table A '!N17</f>
        <v>195955.07981241727</v>
      </c>
      <c r="W17" s="241">
        <f t="shared" si="3"/>
        <v>285955.07981241727</v>
      </c>
      <c r="X17" s="242"/>
      <c r="Y17" s="239">
        <f>'ES CT Electric Table A  '!R15</f>
        <v>90000</v>
      </c>
      <c r="Z17" s="240">
        <f>'[15]Table A '!O17</f>
        <v>194535.78328228442</v>
      </c>
      <c r="AA17" s="241">
        <f t="shared" si="4"/>
        <v>284535.78328228439</v>
      </c>
      <c r="AD17" s="187"/>
    </row>
    <row r="18" spans="1:30" ht="18.75" thickBot="1" x14ac:dyDescent="0.3">
      <c r="A18" s="22"/>
      <c r="B18" s="470"/>
      <c r="C18" s="245" t="s">
        <v>275</v>
      </c>
      <c r="D18" s="246"/>
      <c r="E18" s="246">
        <f>SUM(E12:E17)</f>
        <v>57968014.460000001</v>
      </c>
      <c r="F18" s="246">
        <f>SUM(F12:F17)</f>
        <v>10333186.830795577</v>
      </c>
      <c r="G18" s="246">
        <f>SUM(G12:G17)</f>
        <v>68301201.29079558</v>
      </c>
      <c r="H18" s="247"/>
      <c r="I18" s="246">
        <f>SUM(I12:I17)</f>
        <v>77508628</v>
      </c>
      <c r="J18" s="246">
        <f>SUM(J12:J17)</f>
        <v>16331316.800000001</v>
      </c>
      <c r="K18" s="246">
        <f>SUM(K12:K17)</f>
        <v>93839944.800000012</v>
      </c>
      <c r="L18" s="247"/>
      <c r="M18" s="246">
        <f>SUM(M12:M17)</f>
        <v>65804195.700000003</v>
      </c>
      <c r="N18" s="246">
        <f>SUM(N12:N17)</f>
        <v>11582916.27209615</v>
      </c>
      <c r="O18" s="246">
        <f>SUM(O12:O17)</f>
        <v>77387111.97209616</v>
      </c>
      <c r="P18" s="247"/>
      <c r="Q18" s="246">
        <f>SUM(Q12:Q17)</f>
        <v>57666720.700000003</v>
      </c>
      <c r="R18" s="246">
        <f>SUM(R12:R17)</f>
        <v>12224244.697357386</v>
      </c>
      <c r="S18" s="246">
        <f>SUM(S12:S17)</f>
        <v>69890965.397357389</v>
      </c>
      <c r="T18" s="247"/>
      <c r="U18" s="246">
        <f>SUM(U12:U17)</f>
        <v>57301970.700000003</v>
      </c>
      <c r="V18" s="246">
        <f>SUM(V12:V17)</f>
        <v>12034528.349365802</v>
      </c>
      <c r="W18" s="246">
        <f>SUM(W12:W17)</f>
        <v>69336499.049365804</v>
      </c>
      <c r="X18" s="247"/>
      <c r="Y18" s="246">
        <f>SUM(Y12:Y17)</f>
        <v>56761970.700000003</v>
      </c>
      <c r="Z18" s="246">
        <f>SUM(Z12:Z17)</f>
        <v>11956919.280243017</v>
      </c>
      <c r="AA18" s="246">
        <f>SUM(AA12:AA17)</f>
        <v>68718889.980243027</v>
      </c>
      <c r="AD18" s="187"/>
    </row>
    <row r="19" spans="1:30" ht="17.25" customHeight="1" thickBot="1" x14ac:dyDescent="0.3">
      <c r="A19" s="22"/>
      <c r="B19" s="470"/>
      <c r="C19" s="858" t="s">
        <v>16</v>
      </c>
      <c r="D19" s="858"/>
      <c r="E19" s="858"/>
      <c r="F19" s="858"/>
      <c r="G19" s="858"/>
      <c r="H19" s="858"/>
      <c r="I19" s="858"/>
      <c r="J19" s="858"/>
      <c r="K19" s="858"/>
      <c r="L19" s="858"/>
      <c r="M19" s="858"/>
      <c r="N19" s="858"/>
      <c r="O19" s="858"/>
      <c r="P19" s="858"/>
      <c r="Q19" s="858"/>
      <c r="R19" s="858"/>
      <c r="S19" s="858"/>
      <c r="T19" s="858"/>
      <c r="U19" s="858"/>
      <c r="V19" s="858"/>
      <c r="W19" s="858"/>
      <c r="X19" s="572"/>
      <c r="Y19" s="572"/>
      <c r="Z19" s="572"/>
      <c r="AA19" s="572"/>
      <c r="AD19" s="187"/>
    </row>
    <row r="20" spans="1:30" ht="18.75" thickBot="1" x14ac:dyDescent="0.3">
      <c r="A20" s="22" t="s">
        <v>30</v>
      </c>
      <c r="B20" s="470"/>
      <c r="C20" s="238" t="s">
        <v>116</v>
      </c>
      <c r="D20" s="241"/>
      <c r="E20" s="239">
        <f>'ES CT Electric Table A  '!E18</f>
        <v>12436628</v>
      </c>
      <c r="F20" s="240">
        <f>'[13]Table A '!$J$22</f>
        <v>2903673.7533250749</v>
      </c>
      <c r="G20" s="241">
        <f>SUM(E20,F20)</f>
        <v>15340301.753325075</v>
      </c>
      <c r="H20" s="242"/>
      <c r="I20" s="239">
        <f>'ES CT Electric Table A  '!G18</f>
        <v>10589867</v>
      </c>
      <c r="J20" s="240">
        <f>'[14]Table A '!$F$20</f>
        <v>7916998</v>
      </c>
      <c r="K20" s="241">
        <f>SUM(I20,J20)</f>
        <v>18506865</v>
      </c>
      <c r="L20" s="242"/>
      <c r="M20" s="239">
        <f>'ES CT Electric Table A  '!J18</f>
        <v>13513265.475251701</v>
      </c>
      <c r="N20" s="240">
        <f>'[14]Table A '!$H$20</f>
        <v>4235858.4924753252</v>
      </c>
      <c r="O20" s="241">
        <f>SUM(M20,N20)</f>
        <v>17749123.967727028</v>
      </c>
      <c r="P20" s="242"/>
      <c r="Q20" s="239">
        <f>'ES CT Electric Table A  '!N18</f>
        <v>11494349.475251701</v>
      </c>
      <c r="R20" s="240">
        <f>'[15]Table A '!K20</f>
        <v>3920523.4416047367</v>
      </c>
      <c r="S20" s="241">
        <f>SUM(Q20,R20)</f>
        <v>15414872.916856438</v>
      </c>
      <c r="T20" s="242"/>
      <c r="U20" s="239">
        <f>'ES CT Electric Table A  '!Q18</f>
        <v>10900633.455251701</v>
      </c>
      <c r="V20" s="240">
        <f>'[15]Table A '!N20</f>
        <v>3839994.7731835046</v>
      </c>
      <c r="W20" s="241">
        <f>SUM(U20,V20)</f>
        <v>14740628.228435205</v>
      </c>
      <c r="X20" s="242"/>
      <c r="Y20" s="239">
        <f>'ES CT Electric Table A  '!R18</f>
        <v>10783021.0952517</v>
      </c>
      <c r="Z20" s="240">
        <f>'[15]Table A '!O20</f>
        <v>3812181.809835393</v>
      </c>
      <c r="AA20" s="241">
        <f>SUM(Y20,Z20)</f>
        <v>14595202.905087093</v>
      </c>
      <c r="AD20" s="187"/>
    </row>
    <row r="21" spans="1:30" ht="18.75" thickBot="1" x14ac:dyDescent="0.3">
      <c r="A21" s="22" t="s">
        <v>30</v>
      </c>
      <c r="B21" s="470"/>
      <c r="C21" s="238" t="s">
        <v>17</v>
      </c>
      <c r="D21" s="241"/>
      <c r="E21" s="239">
        <f>'ES CT Electric Table A  '!E19</f>
        <v>45020584</v>
      </c>
      <c r="F21" s="240">
        <f>'[13]Table A '!$J$25</f>
        <v>12357622.543698594</v>
      </c>
      <c r="G21" s="241">
        <f>SUM(E21,F21)</f>
        <v>57378206.543698594</v>
      </c>
      <c r="H21" s="242"/>
      <c r="I21" s="239">
        <f>'ES CT Electric Table A  '!G19</f>
        <v>37034760</v>
      </c>
      <c r="J21" s="240">
        <f>'[14]Table A '!$F$21</f>
        <v>5801717</v>
      </c>
      <c r="K21" s="241">
        <f>SUM(I21,J21)</f>
        <v>42836477</v>
      </c>
      <c r="L21" s="242"/>
      <c r="M21" s="239">
        <f>'ES CT Electric Table A  '!J19</f>
        <v>36833450.623665601</v>
      </c>
      <c r="N21" s="240">
        <f>'[14]Table A '!$H$21</f>
        <v>7856527.3449996002</v>
      </c>
      <c r="O21" s="241">
        <f>SUM(M21,N21)</f>
        <v>44689977.968665197</v>
      </c>
      <c r="P21" s="242"/>
      <c r="Q21" s="239">
        <f>'ES CT Electric Table A  '!N19</f>
        <v>32903887.623665601</v>
      </c>
      <c r="R21" s="240">
        <f>'[15]Table A '!K21</f>
        <v>7466578.4970622947</v>
      </c>
      <c r="S21" s="241">
        <f>SUM(Q21,R21)</f>
        <v>40370466.120727897</v>
      </c>
      <c r="T21" s="242"/>
      <c r="U21" s="239">
        <f>'ES CT Electric Table A  '!Q19</f>
        <v>32921033.173665602</v>
      </c>
      <c r="V21" s="240">
        <f>'[15]Table A '!N21</f>
        <v>7185371.6949423887</v>
      </c>
      <c r="W21" s="241">
        <f>SUM(U21,V21)</f>
        <v>40106404.86860799</v>
      </c>
      <c r="X21" s="242"/>
      <c r="Y21" s="239">
        <f>'ES CT Electric Table A  '!R19</f>
        <v>32561662.0736656</v>
      </c>
      <c r="Z21" s="240">
        <f>'[15]Table A '!O21</f>
        <v>7133328.2700425386</v>
      </c>
      <c r="AA21" s="241">
        <f>SUM(Y21,Z21)</f>
        <v>39694990.343708143</v>
      </c>
      <c r="AD21" s="187"/>
    </row>
    <row r="22" spans="1:30" ht="36.75" thickBot="1" x14ac:dyDescent="0.3">
      <c r="A22" s="22" t="s">
        <v>30</v>
      </c>
      <c r="B22" s="470"/>
      <c r="C22" s="279" t="s">
        <v>411</v>
      </c>
      <c r="D22" s="241"/>
      <c r="E22" s="239">
        <f>'ES CT Electric Table A  '!E20</f>
        <v>969960</v>
      </c>
      <c r="F22" s="240">
        <f>'[13]Table A '!$J$26</f>
        <v>825693.71569327044</v>
      </c>
      <c r="G22" s="241">
        <f>SUM(E22,F22)</f>
        <v>1795653.7156932703</v>
      </c>
      <c r="H22" s="242"/>
      <c r="I22" s="239">
        <f>'ES CT Electric Table A  '!G20</f>
        <v>842631</v>
      </c>
      <c r="J22" s="240">
        <f>'[14]Table A '!$F$22</f>
        <v>433054.4</v>
      </c>
      <c r="K22" s="241">
        <f>SUM(I22,J22)</f>
        <v>1275685.3999999999</v>
      </c>
      <c r="L22" s="242"/>
      <c r="M22" s="239">
        <f>'ES CT Electric Table A  '!J20</f>
        <v>3175965.7412745301</v>
      </c>
      <c r="N22" s="240">
        <f>'[14]Table A '!$H$22</f>
        <v>1154084.6046550167</v>
      </c>
      <c r="O22" s="241">
        <f>SUM(M22,N22)</f>
        <v>4330050.3459295463</v>
      </c>
      <c r="P22" s="242"/>
      <c r="Q22" s="239">
        <f>'ES CT Electric Table A  '!N20</f>
        <v>3001154.7412745301</v>
      </c>
      <c r="R22" s="240">
        <f>'[15]Table A '!K22</f>
        <v>1105722.6237193614</v>
      </c>
      <c r="S22" s="241">
        <f>SUM(Q22,R22)</f>
        <v>4106877.3649938917</v>
      </c>
      <c r="T22" s="242"/>
      <c r="U22" s="239">
        <f>'ES CT Electric Table A  '!Q20</f>
        <v>3352172.4012745302</v>
      </c>
      <c r="V22" s="240">
        <f>'[15]Table A '!N22</f>
        <v>1072253.0744938485</v>
      </c>
      <c r="W22" s="241">
        <f>SUM(U22,V22)</f>
        <v>4424425.4757683789</v>
      </c>
      <c r="X22" s="242"/>
      <c r="Y22" s="239">
        <f>'ES CT Electric Table A  '!R20</f>
        <v>3312968.2812745301</v>
      </c>
      <c r="Z22" s="240">
        <f>'[15]Table A '!O22</f>
        <v>1064486.7786465045</v>
      </c>
      <c r="AA22" s="241">
        <f>SUM(Y22,Z22)</f>
        <v>4377455.0599210346</v>
      </c>
      <c r="AD22" s="187"/>
    </row>
    <row r="23" spans="1:30" ht="23.25" customHeight="1" thickBot="1" x14ac:dyDescent="0.3">
      <c r="A23" s="22" t="s">
        <v>30</v>
      </c>
      <c r="B23" s="470"/>
      <c r="C23" s="238" t="s">
        <v>117</v>
      </c>
      <c r="D23" s="241"/>
      <c r="E23" s="239">
        <f>'ES CT Electric Table A  '!E21</f>
        <v>5382744</v>
      </c>
      <c r="F23" s="240">
        <f>'[13]Table A '!$J$28</f>
        <v>3913845.3162015928</v>
      </c>
      <c r="G23" s="241">
        <f>SUM(E23,F23)</f>
        <v>9296589.3162015937</v>
      </c>
      <c r="H23" s="242"/>
      <c r="I23" s="239">
        <f>'ES CT Electric Table A  '!G21</f>
        <v>12300907</v>
      </c>
      <c r="J23" s="240">
        <f>'[14]Table A '!$F$23</f>
        <v>6996241.4000000004</v>
      </c>
      <c r="K23" s="241">
        <f>SUM(I23,J23)</f>
        <v>19297148.399999999</v>
      </c>
      <c r="L23" s="242"/>
      <c r="M23" s="239">
        <f>'ES CT Electric Table A  '!J21</f>
        <v>14526524.838563601</v>
      </c>
      <c r="N23" s="240">
        <f>'[14]Table A '!$H$23</f>
        <v>3821696.1953510051</v>
      </c>
      <c r="O23" s="241">
        <f>SUM(M23,N23)</f>
        <v>18348221.033914607</v>
      </c>
      <c r="P23" s="242"/>
      <c r="Q23" s="239">
        <f>'ES CT Electric Table A  '!N21</f>
        <v>11843209.838563601</v>
      </c>
      <c r="R23" s="240">
        <f>'[15]Table A '!K23</f>
        <v>3642400.3144699959</v>
      </c>
      <c r="S23" s="241">
        <f>SUM(Q23,R23)</f>
        <v>15485610.153033596</v>
      </c>
      <c r="T23" s="242"/>
      <c r="U23" s="239">
        <f>'ES CT Electric Table A  '!Q21</f>
        <v>12363153.648563601</v>
      </c>
      <c r="V23" s="240">
        <f>'[15]Table A '!N23</f>
        <v>3578597.2377529265</v>
      </c>
      <c r="W23" s="241">
        <f>SUM(U23,V23)</f>
        <v>15941750.886316527</v>
      </c>
      <c r="X23" s="242"/>
      <c r="Y23" s="239">
        <f>'ES CT Electric Table A  '!R21</f>
        <v>12225939.228563601</v>
      </c>
      <c r="Z23" s="240">
        <f>'[15]Table A '!O23</f>
        <v>3552677.5686673457</v>
      </c>
      <c r="AA23" s="241">
        <f>SUM(Y23,Z23)</f>
        <v>15778616.797230948</v>
      </c>
      <c r="AD23" s="187"/>
    </row>
    <row r="24" spans="1:30" s="82" customFormat="1" ht="18.75" thickBot="1" x14ac:dyDescent="0.3">
      <c r="A24" s="574"/>
      <c r="B24" s="471"/>
      <c r="C24" s="259" t="s">
        <v>277</v>
      </c>
      <c r="D24" s="246"/>
      <c r="E24" s="246">
        <f>SUM(E20:E23)</f>
        <v>63809916</v>
      </c>
      <c r="F24" s="246">
        <f t="shared" ref="F24:G24" si="5">SUM(F20:F23)</f>
        <v>20000835.328918532</v>
      </c>
      <c r="G24" s="246">
        <f t="shared" si="5"/>
        <v>83810751.328918532</v>
      </c>
      <c r="H24" s="266"/>
      <c r="I24" s="246">
        <f>SUM(I20:I23)</f>
        <v>60768165</v>
      </c>
      <c r="J24" s="246">
        <f t="shared" ref="J24" si="6">SUM(J20:J23)</f>
        <v>21148010.800000001</v>
      </c>
      <c r="K24" s="246">
        <f t="shared" ref="K24" si="7">SUM(K20:K23)</f>
        <v>81916175.799999997</v>
      </c>
      <c r="L24" s="266"/>
      <c r="M24" s="246">
        <f>SUM(M20:M23)</f>
        <v>68049206.678755432</v>
      </c>
      <c r="N24" s="246">
        <f t="shared" ref="N24" si="8">SUM(N20:N23)</f>
        <v>17068166.637480948</v>
      </c>
      <c r="O24" s="246">
        <f t="shared" ref="O24" si="9">SUM(O20:O23)</f>
        <v>85117373.316236377</v>
      </c>
      <c r="P24" s="266"/>
      <c r="Q24" s="246">
        <f>SUM(Q20:Q23)</f>
        <v>59242601.678755432</v>
      </c>
      <c r="R24" s="246">
        <f t="shared" ref="R24" si="10">SUM(R20:R23)</f>
        <v>16135224.876856387</v>
      </c>
      <c r="S24" s="246">
        <f t="shared" ref="S24" si="11">SUM(S20:S23)</f>
        <v>75377826.555611819</v>
      </c>
      <c r="T24" s="266"/>
      <c r="U24" s="246">
        <f>SUM(U20:U23)</f>
        <v>59536992.67875544</v>
      </c>
      <c r="V24" s="246">
        <f t="shared" ref="V24" si="12">SUM(V20:V23)</f>
        <v>15676216.780372668</v>
      </c>
      <c r="W24" s="246">
        <f t="shared" ref="W24" si="13">SUM(W20:W23)</f>
        <v>75213209.459128097</v>
      </c>
      <c r="X24" s="266"/>
      <c r="Y24" s="246">
        <f>SUM(Y20:Y23)</f>
        <v>58883590.678755425</v>
      </c>
      <c r="Z24" s="246">
        <f t="shared" ref="Z24:AA24" si="14">SUM(Z20:Z23)</f>
        <v>15562674.427191783</v>
      </c>
      <c r="AA24" s="246">
        <f t="shared" si="14"/>
        <v>74446265.105947211</v>
      </c>
      <c r="AD24" s="187"/>
    </row>
    <row r="25" spans="1:30" ht="27" customHeight="1" thickBot="1" x14ac:dyDescent="0.3">
      <c r="A25" s="22"/>
      <c r="B25" s="470"/>
      <c r="C25" s="856" t="s">
        <v>19</v>
      </c>
      <c r="D25" s="856"/>
      <c r="E25" s="856"/>
      <c r="F25" s="856"/>
      <c r="G25" s="856"/>
      <c r="H25" s="856"/>
      <c r="I25" s="856"/>
      <c r="J25" s="856"/>
      <c r="K25" s="856"/>
      <c r="L25" s="856"/>
      <c r="M25" s="856"/>
      <c r="N25" s="856"/>
      <c r="O25" s="856"/>
      <c r="P25" s="856"/>
      <c r="Q25" s="856"/>
      <c r="R25" s="856"/>
      <c r="S25" s="856"/>
      <c r="T25" s="856"/>
      <c r="U25" s="856"/>
      <c r="V25" s="856"/>
      <c r="W25" s="856"/>
      <c r="X25" s="573"/>
      <c r="Y25" s="573"/>
      <c r="Z25" s="573"/>
      <c r="AA25" s="573"/>
      <c r="AD25" s="187"/>
    </row>
    <row r="26" spans="1:30" ht="18.75" thickBot="1" x14ac:dyDescent="0.3">
      <c r="A26" s="22" t="s">
        <v>29</v>
      </c>
      <c r="B26" s="470"/>
      <c r="C26" s="265" t="s">
        <v>256</v>
      </c>
      <c r="D26" s="241"/>
      <c r="E26" s="239">
        <f>'ES CT Electric Table A  '!E24</f>
        <v>1867994.49</v>
      </c>
      <c r="F26" s="240">
        <f>'[13]Table A '!$J$42</f>
        <v>417042.43610177812</v>
      </c>
      <c r="G26" s="241">
        <f>SUM(E26,F26)</f>
        <v>2285036.9261017782</v>
      </c>
      <c r="H26" s="242"/>
      <c r="I26" s="241">
        <f>'ES CT Electric Table A  '!G24</f>
        <v>2510466.7000000002</v>
      </c>
      <c r="J26" s="240">
        <f>'[14]Table A '!$F$26</f>
        <v>610010</v>
      </c>
      <c r="K26" s="241">
        <f>SUM(I26,J26)</f>
        <v>3120476.7</v>
      </c>
      <c r="L26" s="242"/>
      <c r="M26" s="241">
        <f>'ES CT Electric Table A  '!J24</f>
        <v>3340000</v>
      </c>
      <c r="N26" s="240">
        <f>'[14]Table A '!$H$26</f>
        <v>565015.14991220902</v>
      </c>
      <c r="O26" s="241">
        <f>SUM(M26,N26)</f>
        <v>3905015.1499122093</v>
      </c>
      <c r="P26" s="242"/>
      <c r="Q26" s="241">
        <f>'ES CT Electric Table A  '!N24</f>
        <v>3082000</v>
      </c>
      <c r="R26" s="240">
        <f>'[15]Table A '!K26</f>
        <v>687093.95991220907</v>
      </c>
      <c r="S26" s="241">
        <f>SUM(Q26,R26)</f>
        <v>3769093.9599122088</v>
      </c>
      <c r="T26" s="242"/>
      <c r="U26" s="241">
        <f>'ES CT Electric Table A  '!Q24</f>
        <v>3390200.0000000005</v>
      </c>
      <c r="V26" s="240">
        <f>'[15]Table A '!N26</f>
        <v>833588.14991220902</v>
      </c>
      <c r="W26" s="241">
        <f>SUM(U26,V26)</f>
        <v>4223788.1499122093</v>
      </c>
      <c r="X26" s="242"/>
      <c r="Y26" s="241">
        <f>'ES CT Electric Table A  '!R24</f>
        <v>3729220.0000000009</v>
      </c>
      <c r="Z26" s="240">
        <f>'[15]Table A '!O26</f>
        <v>833588.14991220902</v>
      </c>
      <c r="AA26" s="241">
        <f>SUM(Y26,Z26)</f>
        <v>4562808.1499122102</v>
      </c>
      <c r="AD26" s="187"/>
    </row>
    <row r="27" spans="1:30" ht="18.75" thickBot="1" x14ac:dyDescent="0.3">
      <c r="A27" s="22" t="s">
        <v>30</v>
      </c>
      <c r="B27" s="470"/>
      <c r="C27" s="265" t="s">
        <v>257</v>
      </c>
      <c r="D27" s="241"/>
      <c r="E27" s="239">
        <f>'ES CT Electric Table A  '!E25</f>
        <v>2470465.21</v>
      </c>
      <c r="F27" s="240">
        <f>'[13]Table A '!$J$43</f>
        <v>103718.45408541011</v>
      </c>
      <c r="G27" s="241">
        <f>SUM(E27,F27)</f>
        <v>2574183.6640854101</v>
      </c>
      <c r="H27" s="242"/>
      <c r="I27" s="241">
        <f>'ES CT Electric Table A  '!G25</f>
        <v>3375612.57</v>
      </c>
      <c r="J27" s="240">
        <f>'[14]Table A '!$F$27</f>
        <v>174610</v>
      </c>
      <c r="K27" s="241">
        <f>SUM(I27,J27)</f>
        <v>3550222.57</v>
      </c>
      <c r="L27" s="242"/>
      <c r="M27" s="241">
        <f>'ES CT Electric Table A  '!J25</f>
        <v>4753000</v>
      </c>
      <c r="N27" s="240">
        <f>'[14]Table A '!$H$27</f>
        <v>359419.180087791</v>
      </c>
      <c r="O27" s="241">
        <f>SUM(M27,N27)</f>
        <v>5112419.1800877908</v>
      </c>
      <c r="P27" s="242"/>
      <c r="Q27" s="241">
        <f>'ES CT Electric Table A  '!N25</f>
        <v>4380590</v>
      </c>
      <c r="R27" s="240">
        <f>'[15]Table A '!K27</f>
        <v>424129.180087791</v>
      </c>
      <c r="S27" s="241">
        <f>SUM(Q27,R27)</f>
        <v>4804719.1800877908</v>
      </c>
      <c r="T27" s="242"/>
      <c r="U27" s="241">
        <f>'ES CT Electric Table A  '!Q25</f>
        <v>4818649</v>
      </c>
      <c r="V27" s="240">
        <f>'[15]Table A '!N27</f>
        <v>492859.180087791</v>
      </c>
      <c r="W27" s="241">
        <f>SUM(U27,V27)</f>
        <v>5311508.1800877908</v>
      </c>
      <c r="X27" s="242"/>
      <c r="Y27" s="241">
        <f>'ES CT Electric Table A  '!R25</f>
        <v>5300513.9000000004</v>
      </c>
      <c r="Z27" s="240">
        <f>'[15]Table A '!O27</f>
        <v>492859.180087791</v>
      </c>
      <c r="AA27" s="241">
        <f>SUM(Y27,Z27)</f>
        <v>5793373.0800877912</v>
      </c>
      <c r="AD27" s="187"/>
    </row>
    <row r="28" spans="1:30" s="82" customFormat="1" ht="18.75" thickBot="1" x14ac:dyDescent="0.3">
      <c r="A28" s="574"/>
      <c r="B28" s="471"/>
      <c r="C28" s="259" t="s">
        <v>280</v>
      </c>
      <c r="D28" s="246"/>
      <c r="E28" s="246">
        <f>SUM(E26:E27)</f>
        <v>4338459.7</v>
      </c>
      <c r="F28" s="260">
        <f>SUM(F26:F27)</f>
        <v>520760.89018718823</v>
      </c>
      <c r="G28" s="246">
        <f>SUM(G26:G27)</f>
        <v>4859220.5901871882</v>
      </c>
      <c r="H28" s="266"/>
      <c r="I28" s="246">
        <f>SUM(I26:I27)</f>
        <v>5886079.2699999996</v>
      </c>
      <c r="J28" s="260">
        <f>SUM(J26:J27)</f>
        <v>784620</v>
      </c>
      <c r="K28" s="246">
        <f>SUM(K26:K27)</f>
        <v>6670699.2699999996</v>
      </c>
      <c r="L28" s="266"/>
      <c r="M28" s="246">
        <f>SUM(M26:M27)</f>
        <v>8093000</v>
      </c>
      <c r="N28" s="260">
        <f>SUM(N26:N27)</f>
        <v>924434.33000000007</v>
      </c>
      <c r="O28" s="246">
        <f>SUM(O26:O27)</f>
        <v>9017434.3300000001</v>
      </c>
      <c r="P28" s="266"/>
      <c r="Q28" s="246">
        <f>SUM(Q26:Q27)</f>
        <v>7462590</v>
      </c>
      <c r="R28" s="260">
        <f>SUM(R26:R27)</f>
        <v>1111223.1400000001</v>
      </c>
      <c r="S28" s="246">
        <f>SUM(S26:S27)</f>
        <v>8573813.1400000006</v>
      </c>
      <c r="T28" s="266"/>
      <c r="U28" s="246">
        <f>SUM(U26:U27)</f>
        <v>8208849</v>
      </c>
      <c r="V28" s="260">
        <f>SUM(V26:V27)</f>
        <v>1326447.33</v>
      </c>
      <c r="W28" s="246">
        <f>SUM(W26:W27)</f>
        <v>9535296.3300000001</v>
      </c>
      <c r="X28" s="266"/>
      <c r="Y28" s="246">
        <f>SUM(Y26:Y27)</f>
        <v>9029733.9000000022</v>
      </c>
      <c r="Z28" s="260">
        <f>SUM(Z26:Z27)</f>
        <v>1326447.33</v>
      </c>
      <c r="AA28" s="246">
        <f>SUM(AA26:AA27)</f>
        <v>10356181.23</v>
      </c>
      <c r="AD28" s="187"/>
    </row>
    <row r="29" spans="1:30" ht="24.75" customHeight="1" thickBot="1" x14ac:dyDescent="0.3">
      <c r="A29" s="22"/>
      <c r="B29" s="470"/>
      <c r="C29" s="856" t="s">
        <v>259</v>
      </c>
      <c r="D29" s="856"/>
      <c r="E29" s="856"/>
      <c r="F29" s="856"/>
      <c r="G29" s="856"/>
      <c r="H29" s="856"/>
      <c r="I29" s="856"/>
      <c r="J29" s="856"/>
      <c r="K29" s="856"/>
      <c r="L29" s="856"/>
      <c r="M29" s="856"/>
      <c r="N29" s="856"/>
      <c r="O29" s="856"/>
      <c r="P29" s="856"/>
      <c r="Q29" s="856"/>
      <c r="R29" s="856"/>
      <c r="S29" s="856"/>
      <c r="T29" s="856"/>
      <c r="U29" s="856"/>
      <c r="V29" s="856"/>
      <c r="W29" s="856"/>
      <c r="X29" s="573"/>
      <c r="Y29" s="573"/>
      <c r="Z29" s="573"/>
      <c r="AA29" s="573"/>
      <c r="AD29" s="187"/>
    </row>
    <row r="30" spans="1:30" ht="18.75" thickBot="1" x14ac:dyDescent="0.3">
      <c r="A30" s="4" t="s">
        <v>18</v>
      </c>
      <c r="B30" s="470"/>
      <c r="C30" s="238" t="s">
        <v>395</v>
      </c>
      <c r="D30" s="241"/>
      <c r="E30" s="239">
        <f>'ES CT Electric Table A  '!E28</f>
        <v>250731.51999999999</v>
      </c>
      <c r="F30" s="241">
        <f>'[13]Table A '!$J$33</f>
        <v>112232.48960792371</v>
      </c>
      <c r="G30" s="241">
        <f>SUM(E30,F30)</f>
        <v>362964.00960792368</v>
      </c>
      <c r="H30" s="242"/>
      <c r="I30" s="241">
        <f>'ES CT Electric Table A  '!G28</f>
        <v>287255</v>
      </c>
      <c r="J30" s="240">
        <f>'[14]Table A '!$F$30</f>
        <v>128510.55</v>
      </c>
      <c r="K30" s="241">
        <f>SUM(I30,J30)</f>
        <v>415765.55</v>
      </c>
      <c r="L30" s="242"/>
      <c r="M30" s="241">
        <f>'ES CT Electric Table A  '!J28</f>
        <v>736000</v>
      </c>
      <c r="N30" s="241">
        <f>'[14]Table A '!$J$30</f>
        <v>183999.93058740845</v>
      </c>
      <c r="O30" s="241">
        <f>SUM(M30,N30)</f>
        <v>919999.93058740848</v>
      </c>
      <c r="P30" s="242"/>
      <c r="Q30" s="241">
        <f>'ES CT Electric Table A  '!N28</f>
        <v>736000</v>
      </c>
      <c r="R30" s="241">
        <f>'[15]Table A '!K30</f>
        <v>183999.93058740845</v>
      </c>
      <c r="S30" s="241">
        <f>SUM(Q30,R30)</f>
        <v>919999.93058740848</v>
      </c>
      <c r="T30" s="242"/>
      <c r="U30" s="241">
        <f>'ES CT Electric Table A  '!Q28</f>
        <v>736000</v>
      </c>
      <c r="V30" s="241">
        <f>'[15]Table A '!N30</f>
        <v>183999.93058740845</v>
      </c>
      <c r="W30" s="241">
        <f>SUM(U30,V30)</f>
        <v>919999.93058740848</v>
      </c>
      <c r="X30" s="242"/>
      <c r="Y30" s="241">
        <f>'ES CT Electric Table A  '!R28</f>
        <v>736000</v>
      </c>
      <c r="Z30" s="241">
        <f>'[15]Table A '!O30</f>
        <v>183999.93058740845</v>
      </c>
      <c r="AA30" s="241">
        <f>SUM(Y30,Z30)</f>
        <v>919999.93058740848</v>
      </c>
      <c r="AD30" s="187"/>
    </row>
    <row r="31" spans="1:30" ht="18.75" thickBot="1" x14ac:dyDescent="0.3">
      <c r="A31" s="93" t="s">
        <v>196</v>
      </c>
      <c r="B31" s="470"/>
      <c r="C31" s="238" t="s">
        <v>397</v>
      </c>
      <c r="D31" s="241"/>
      <c r="E31" s="239">
        <f>'ES CT Electric Table A  '!E29</f>
        <v>363120</v>
      </c>
      <c r="F31" s="241">
        <f>'[13]Table A '!$J$34</f>
        <v>77660.201153521295</v>
      </c>
      <c r="G31" s="241">
        <f>SUM(E31,F31)</f>
        <v>440780.20115352131</v>
      </c>
      <c r="H31" s="242"/>
      <c r="I31" s="241">
        <f>'ES CT Electric Table A  '!G29</f>
        <v>323082</v>
      </c>
      <c r="J31" s="240">
        <f>'[14]Table A '!$F$31</f>
        <v>100986.5</v>
      </c>
      <c r="K31" s="241">
        <f>SUM(I31,J31)</f>
        <v>424068.5</v>
      </c>
      <c r="L31" s="242"/>
      <c r="M31" s="241">
        <f>'ES CT Electric Table A  '!J29</f>
        <v>893600</v>
      </c>
      <c r="N31" s="241">
        <f>'[14]Table A '!$J$31</f>
        <v>198399.95775061124</v>
      </c>
      <c r="O31" s="241">
        <f>SUM(M31,N31)</f>
        <v>1091999.9577506112</v>
      </c>
      <c r="P31" s="242"/>
      <c r="Q31" s="241">
        <f>'ES CT Electric Table A  '!N29</f>
        <v>793600</v>
      </c>
      <c r="R31" s="241">
        <f>'[15]Table A '!K31</f>
        <v>198399.95775061124</v>
      </c>
      <c r="S31" s="241">
        <f>SUM(Q31,R31)</f>
        <v>991999.95775061124</v>
      </c>
      <c r="T31" s="242"/>
      <c r="U31" s="241">
        <f>'ES CT Electric Table A  '!Q29</f>
        <v>793600</v>
      </c>
      <c r="V31" s="241">
        <f>'[15]Table A '!N31</f>
        <v>198399.95775061124</v>
      </c>
      <c r="W31" s="241">
        <f>SUM(U31,V31)</f>
        <v>991999.95775061124</v>
      </c>
      <c r="X31" s="242"/>
      <c r="Y31" s="241">
        <f>'ES CT Electric Table A  '!R29</f>
        <v>793600</v>
      </c>
      <c r="Z31" s="241">
        <f>'[15]Table A '!O31</f>
        <v>198399.95775061124</v>
      </c>
      <c r="AA31" s="241">
        <f>SUM(Y31,Z31)</f>
        <v>991999.95775061124</v>
      </c>
      <c r="AD31" s="187"/>
    </row>
    <row r="32" spans="1:30" ht="18.75" thickBot="1" x14ac:dyDescent="0.3">
      <c r="A32" s="93" t="s">
        <v>196</v>
      </c>
      <c r="B32" s="470"/>
      <c r="C32" s="238" t="s">
        <v>393</v>
      </c>
      <c r="D32" s="241"/>
      <c r="E32" s="239">
        <f>'ES CT Electric Table A  '!E30</f>
        <v>385115.97</v>
      </c>
      <c r="F32" s="241">
        <f>'[13]Table A '!$J$31</f>
        <v>174461.61222752894</v>
      </c>
      <c r="G32" s="241">
        <f>SUM(E32,F32)</f>
        <v>559577.58222752891</v>
      </c>
      <c r="H32" s="242"/>
      <c r="I32" s="241">
        <f>'ES CT Electric Table A  '!G30</f>
        <v>562598</v>
      </c>
      <c r="J32" s="240">
        <f>'[14]Table A '!$F$32</f>
        <v>107074</v>
      </c>
      <c r="K32" s="241">
        <f>SUM(I32,J32)</f>
        <v>669672</v>
      </c>
      <c r="L32" s="242"/>
      <c r="M32" s="241">
        <f>'ES CT Electric Table A  '!J30</f>
        <v>768000</v>
      </c>
      <c r="N32" s="241">
        <f>'[14]Table A '!$J$32</f>
        <v>192000.40329138338</v>
      </c>
      <c r="O32" s="241">
        <f>SUM(M32,N32)</f>
        <v>960000.40329138341</v>
      </c>
      <c r="P32" s="242"/>
      <c r="Q32" s="241">
        <f>'ES CT Electric Table A  '!N30</f>
        <v>768000</v>
      </c>
      <c r="R32" s="241">
        <f>'[15]Table A '!K32</f>
        <v>192000.40329138338</v>
      </c>
      <c r="S32" s="241">
        <f>SUM(Q32,R32)</f>
        <v>960000.40329138341</v>
      </c>
      <c r="T32" s="242"/>
      <c r="U32" s="241">
        <f>'ES CT Electric Table A  '!Q30</f>
        <v>806400</v>
      </c>
      <c r="V32" s="241">
        <f>'[15]Table A '!N32</f>
        <v>192000.40329138338</v>
      </c>
      <c r="W32" s="241">
        <f>SUM(U32,V32)</f>
        <v>998400.40329138341</v>
      </c>
      <c r="X32" s="242"/>
      <c r="Y32" s="241">
        <f>'ES CT Electric Table A  '!R30</f>
        <v>846720</v>
      </c>
      <c r="Z32" s="241">
        <f>'[15]Table A '!O32</f>
        <v>192000.40329138338</v>
      </c>
      <c r="AA32" s="241">
        <f>SUM(Y32,Z32)</f>
        <v>1038720.4032913834</v>
      </c>
      <c r="AD32" s="187"/>
    </row>
    <row r="33" spans="1:30" ht="18.75" customHeight="1" thickBot="1" x14ac:dyDescent="0.3">
      <c r="A33" s="4" t="s">
        <v>18</v>
      </c>
      <c r="B33" s="470"/>
      <c r="C33" s="238" t="s">
        <v>394</v>
      </c>
      <c r="D33" s="241"/>
      <c r="E33" s="239">
        <f>'ES CT Electric Table A  '!E31</f>
        <v>1330908.8700000001</v>
      </c>
      <c r="F33" s="241">
        <f>'[13]Table A '!$J$32</f>
        <v>0</v>
      </c>
      <c r="G33" s="241">
        <f>SUM(E33,F33)</f>
        <v>1330908.8700000001</v>
      </c>
      <c r="H33" s="242"/>
      <c r="I33" s="241">
        <f>'ES CT Electric Table A  '!G31</f>
        <v>876300.83</v>
      </c>
      <c r="J33" s="240">
        <f>'[14]Table A '!$F$33</f>
        <v>0</v>
      </c>
      <c r="K33" s="241">
        <f>SUM(I33,J33)</f>
        <v>876300.83</v>
      </c>
      <c r="L33" s="242"/>
      <c r="M33" s="241">
        <f>'ES CT Electric Table A  '!J31</f>
        <v>450000</v>
      </c>
      <c r="N33" s="241">
        <f>'[14]Table A '!$J$33</f>
        <v>80000.352947476989</v>
      </c>
      <c r="O33" s="241">
        <f>SUM(M33,N33)</f>
        <v>530000.35294747702</v>
      </c>
      <c r="P33" s="242"/>
      <c r="Q33" s="241">
        <f>'ES CT Electric Table A  '!N31</f>
        <v>400000</v>
      </c>
      <c r="R33" s="241">
        <f>'[15]Table A '!K33</f>
        <v>80000.352947476989</v>
      </c>
      <c r="S33" s="241">
        <f>SUM(Q33,R33)</f>
        <v>480000.35294747702</v>
      </c>
      <c r="T33" s="242"/>
      <c r="U33" s="241">
        <f>'ES CT Electric Table A  '!Q31</f>
        <v>400000</v>
      </c>
      <c r="V33" s="241">
        <f>'[15]Table A '!N33</f>
        <v>80000.352947476989</v>
      </c>
      <c r="W33" s="241">
        <f>SUM(U33,V33)</f>
        <v>480000.35294747702</v>
      </c>
      <c r="X33" s="242"/>
      <c r="Y33" s="241">
        <f>'ES CT Electric Table A  '!R31</f>
        <v>400000</v>
      </c>
      <c r="Z33" s="241">
        <f>'[15]Table A '!O33</f>
        <v>80000.352947476989</v>
      </c>
      <c r="AA33" s="241">
        <f>SUM(Y33,Z33)</f>
        <v>480000.35294747702</v>
      </c>
      <c r="AD33" s="187"/>
    </row>
    <row r="34" spans="1:30" s="82" customFormat="1" ht="18.75" thickBot="1" x14ac:dyDescent="0.3">
      <c r="A34" s="574"/>
      <c r="B34" s="471"/>
      <c r="C34" s="259" t="s">
        <v>278</v>
      </c>
      <c r="D34" s="246"/>
      <c r="E34" s="246">
        <f>SUM(E30:E33)</f>
        <v>2329876.3600000003</v>
      </c>
      <c r="F34" s="260">
        <f>SUM(F30:F33)</f>
        <v>364354.30298897391</v>
      </c>
      <c r="G34" s="246">
        <f>SUM(G30:G33)</f>
        <v>2694230.6629889738</v>
      </c>
      <c r="H34" s="266"/>
      <c r="I34" s="246">
        <f>SUM(I30:I33)</f>
        <v>2049235.83</v>
      </c>
      <c r="J34" s="260">
        <f>SUM(J30:J33)</f>
        <v>336571.05</v>
      </c>
      <c r="K34" s="246">
        <f>SUM(K30:K33)</f>
        <v>2385806.88</v>
      </c>
      <c r="L34" s="266"/>
      <c r="M34" s="246">
        <f>SUM(M30:M33)</f>
        <v>2847600</v>
      </c>
      <c r="N34" s="260">
        <f>SUM(N30:N33)</f>
        <v>654400.64457688015</v>
      </c>
      <c r="O34" s="246">
        <f>SUM(O30:O33)</f>
        <v>3502000.6445768801</v>
      </c>
      <c r="P34" s="266"/>
      <c r="Q34" s="246">
        <f>SUM(Q30:Q33)</f>
        <v>2697600</v>
      </c>
      <c r="R34" s="260">
        <f>SUM(R30:R33)</f>
        <v>654400.64457688015</v>
      </c>
      <c r="S34" s="246">
        <f>SUM(S30:S33)</f>
        <v>3352000.6445768801</v>
      </c>
      <c r="T34" s="266"/>
      <c r="U34" s="246">
        <f>SUM(U30:U33)</f>
        <v>2736000</v>
      </c>
      <c r="V34" s="260">
        <f>SUM(V30:V33)</f>
        <v>654400.64457688015</v>
      </c>
      <c r="W34" s="246">
        <f>SUM(W30:W33)</f>
        <v>3390400.6445768801</v>
      </c>
      <c r="X34" s="266"/>
      <c r="Y34" s="246">
        <f>SUM(Y30:Y33)</f>
        <v>2776320</v>
      </c>
      <c r="Z34" s="260">
        <f>SUM(Z30:Z33)</f>
        <v>654400.64457688015</v>
      </c>
      <c r="AA34" s="246">
        <f>SUM(AA30:AA33)</f>
        <v>3430720.6445768801</v>
      </c>
      <c r="AD34" s="187"/>
    </row>
    <row r="35" spans="1:30" ht="18.75" thickBot="1" x14ac:dyDescent="0.3">
      <c r="A35" s="22"/>
      <c r="B35" s="470"/>
      <c r="C35" s="856" t="s">
        <v>39</v>
      </c>
      <c r="D35" s="856"/>
      <c r="E35" s="856"/>
      <c r="F35" s="856"/>
      <c r="G35" s="856"/>
      <c r="H35" s="856"/>
      <c r="I35" s="856"/>
      <c r="J35" s="856"/>
      <c r="K35" s="856"/>
      <c r="L35" s="856"/>
      <c r="M35" s="856"/>
      <c r="N35" s="856"/>
      <c r="O35" s="856"/>
      <c r="P35" s="856"/>
      <c r="Q35" s="856"/>
      <c r="R35" s="856"/>
      <c r="S35" s="856"/>
      <c r="T35" s="856"/>
      <c r="U35" s="856"/>
      <c r="V35" s="856"/>
      <c r="W35" s="856"/>
      <c r="X35" s="573"/>
      <c r="Y35" s="573"/>
      <c r="Z35" s="573"/>
      <c r="AA35" s="573"/>
      <c r="AD35" s="187"/>
    </row>
    <row r="36" spans="1:30" ht="36.75" thickBot="1" x14ac:dyDescent="0.3">
      <c r="A36" s="22" t="s">
        <v>29</v>
      </c>
      <c r="B36" s="470"/>
      <c r="C36" s="280" t="s">
        <v>282</v>
      </c>
      <c r="D36" s="241"/>
      <c r="E36" s="239">
        <f>'ES CT Electric Table A  '!E34</f>
        <v>2746177.84</v>
      </c>
      <c r="F36" s="241">
        <f>'[13]Table A '!$J$37</f>
        <v>156931.89823391274</v>
      </c>
      <c r="G36" s="241">
        <f>SUM(E36,F36)</f>
        <v>2903109.7382339127</v>
      </c>
      <c r="H36" s="242"/>
      <c r="I36" s="241">
        <f>'ES CT Electric Table A  '!G34</f>
        <v>899985.77</v>
      </c>
      <c r="J36" s="240">
        <f>'[14]Table A '!$F$36</f>
        <v>28752</v>
      </c>
      <c r="K36" s="241">
        <f>SUM(I36,J36)</f>
        <v>928737.77</v>
      </c>
      <c r="L36" s="242"/>
      <c r="M36" s="241">
        <f>'ES CT Electric Table A  '!J34</f>
        <v>2750000.0550754499</v>
      </c>
      <c r="N36" s="241">
        <f>'[14]Table A '!$H$36</f>
        <v>157992</v>
      </c>
      <c r="O36" s="241">
        <f>SUM(M36,N36)</f>
        <v>2907992.0550754499</v>
      </c>
      <c r="P36" s="242"/>
      <c r="Q36" s="241">
        <f>'ES CT Electric Table A  '!N34</f>
        <v>2000000.055075455</v>
      </c>
      <c r="R36" s="241">
        <f>'[15]Table A '!K36</f>
        <v>146738</v>
      </c>
      <c r="S36" s="241">
        <f>SUM(Q36,R36)</f>
        <v>2146738.055075455</v>
      </c>
      <c r="T36" s="242"/>
      <c r="U36" s="241">
        <f>'ES CT Electric Table A  '!Q34</f>
        <v>2500000.055075455</v>
      </c>
      <c r="V36" s="241">
        <f>'[15]Table A '!N36</f>
        <v>146738</v>
      </c>
      <c r="W36" s="241">
        <f>SUM(U36,V36)</f>
        <v>2646738.055075455</v>
      </c>
      <c r="X36" s="242"/>
      <c r="Y36" s="241">
        <f>'ES CT Electric Table A  '!R34</f>
        <v>2500000.055075455</v>
      </c>
      <c r="Z36" s="241">
        <f>'[15]Table A '!O36</f>
        <v>146738</v>
      </c>
      <c r="AA36" s="241">
        <f>SUM(Y36,Z36)</f>
        <v>2646738.055075455</v>
      </c>
      <c r="AD36" s="187"/>
    </row>
    <row r="37" spans="1:30" ht="18.75" thickBot="1" x14ac:dyDescent="0.3">
      <c r="A37" s="22" t="s">
        <v>30</v>
      </c>
      <c r="B37" s="470"/>
      <c r="C37" s="238" t="s">
        <v>189</v>
      </c>
      <c r="D37" s="241"/>
      <c r="E37" s="240">
        <f>'ES CT Electric Table A  '!E35</f>
        <v>3103714.08</v>
      </c>
      <c r="F37" s="241">
        <f>'[13]Table A '!$J$38</f>
        <v>0</v>
      </c>
      <c r="G37" s="241">
        <f>E37+F37</f>
        <v>3103714.08</v>
      </c>
      <c r="H37" s="242"/>
      <c r="I37" s="241">
        <f>'ES CT Electric Table A  '!G35</f>
        <v>812013.75</v>
      </c>
      <c r="J37" s="240">
        <f>'[14]Table A '!$F$37</f>
        <v>0</v>
      </c>
      <c r="K37" s="241">
        <f>I37+J37</f>
        <v>812013.75</v>
      </c>
      <c r="L37" s="242"/>
      <c r="M37" s="241">
        <f>'ES CT Electric Table A  '!J35</f>
        <v>1750000</v>
      </c>
      <c r="N37" s="241">
        <f>'[14]Table A '!$H$37</f>
        <v>85000</v>
      </c>
      <c r="O37" s="241">
        <f>M37+N37</f>
        <v>1835000</v>
      </c>
      <c r="P37" s="242"/>
      <c r="Q37" s="241">
        <f>'ES CT Electric Table A  '!N35</f>
        <v>1000000</v>
      </c>
      <c r="R37" s="241">
        <f>'[15]Table A '!K37</f>
        <v>85000</v>
      </c>
      <c r="S37" s="241">
        <f>Q37+R37</f>
        <v>1085000</v>
      </c>
      <c r="T37" s="242"/>
      <c r="U37" s="241">
        <f>'ES CT Electric Table A  '!Q35</f>
        <v>1500000</v>
      </c>
      <c r="V37" s="241">
        <f>'[15]Table A '!N37</f>
        <v>85000</v>
      </c>
      <c r="W37" s="241">
        <f>U37+V37</f>
        <v>1585000</v>
      </c>
      <c r="X37" s="242"/>
      <c r="Y37" s="241">
        <f>'ES CT Electric Table A  '!R35</f>
        <v>1500000</v>
      </c>
      <c r="Z37" s="241">
        <f>'[15]Table A '!O37</f>
        <v>85000</v>
      </c>
      <c r="AA37" s="241">
        <f>Y37+Z37</f>
        <v>1585000</v>
      </c>
      <c r="AD37" s="187"/>
    </row>
    <row r="38" spans="1:30" ht="18.75" thickBot="1" x14ac:dyDescent="0.3">
      <c r="A38" s="22" t="s">
        <v>31</v>
      </c>
      <c r="B38" s="470"/>
      <c r="C38" s="238" t="s">
        <v>21</v>
      </c>
      <c r="D38" s="241"/>
      <c r="E38" s="239">
        <f>'ES CT Electric Table A  '!E36</f>
        <v>136027.44</v>
      </c>
      <c r="F38" s="240">
        <f>'[13]Table A '!$J$39</f>
        <v>25858.560000000009</v>
      </c>
      <c r="G38" s="241">
        <f>E38+F38</f>
        <v>161886</v>
      </c>
      <c r="H38" s="242"/>
      <c r="I38" s="240">
        <f>'ES CT Electric Table A  '!G36</f>
        <v>51833</v>
      </c>
      <c r="J38" s="240">
        <f>'[14]Table A '!$F$38</f>
        <v>7188</v>
      </c>
      <c r="K38" s="241">
        <f>I38+J38</f>
        <v>59021</v>
      </c>
      <c r="L38" s="242"/>
      <c r="M38" s="240">
        <f>'ES CT Electric Table A  '!J36</f>
        <v>162226.85932861801</v>
      </c>
      <c r="N38" s="240">
        <f>'[14]Table A '!$H$38</f>
        <v>151249.79999999999</v>
      </c>
      <c r="O38" s="241">
        <f>M38+N38</f>
        <v>313476.65932861797</v>
      </c>
      <c r="P38" s="242"/>
      <c r="Q38" s="241">
        <f>'ES CT Electric Table A  '!N36</f>
        <v>162226.85932861801</v>
      </c>
      <c r="R38" s="241">
        <f>'[15]Table A '!K38</f>
        <v>151249.79999999999</v>
      </c>
      <c r="S38" s="241">
        <f>Q38+R38</f>
        <v>313476.65932861797</v>
      </c>
      <c r="T38" s="242"/>
      <c r="U38" s="241">
        <f>'ES CT Electric Table A  '!Q36</f>
        <v>162226.85932861801</v>
      </c>
      <c r="V38" s="241">
        <f>'[15]Table A '!N38</f>
        <v>151249.79999999999</v>
      </c>
      <c r="W38" s="241">
        <f>U38+V38</f>
        <v>313476.65932861797</v>
      </c>
      <c r="X38" s="242"/>
      <c r="Y38" s="241">
        <f>'ES CT Electric Table A  '!R36</f>
        <v>162226.85932861801</v>
      </c>
      <c r="Z38" s="241">
        <f>'[15]Table A '!O38</f>
        <v>151249.79999999999</v>
      </c>
      <c r="AA38" s="241">
        <f>Y38+Z38</f>
        <v>313476.65932861797</v>
      </c>
      <c r="AD38" s="187"/>
    </row>
    <row r="39" spans="1:30" s="82" customFormat="1" ht="18.75" thickBot="1" x14ac:dyDescent="0.3">
      <c r="A39" s="574"/>
      <c r="B39" s="471"/>
      <c r="C39" s="259" t="s">
        <v>279</v>
      </c>
      <c r="D39" s="246"/>
      <c r="E39" s="246">
        <f>SUM(E36:E38)</f>
        <v>5985919.3600000003</v>
      </c>
      <c r="F39" s="260">
        <f>SUM(F36:F38)</f>
        <v>182790.45823391274</v>
      </c>
      <c r="G39" s="246">
        <f>SUM(G36:G38)</f>
        <v>6168709.8182339128</v>
      </c>
      <c r="H39" s="266"/>
      <c r="I39" s="246">
        <f>SUM(I36:I38)</f>
        <v>1763832.52</v>
      </c>
      <c r="J39" s="260">
        <f>SUM(J36:J38)</f>
        <v>35940</v>
      </c>
      <c r="K39" s="246">
        <f>SUM(K36:K38)</f>
        <v>1799772.52</v>
      </c>
      <c r="L39" s="266"/>
      <c r="M39" s="246">
        <f>SUM(M36:M38)</f>
        <v>4662226.9144040681</v>
      </c>
      <c r="N39" s="260">
        <f>SUM(N36:N38)</f>
        <v>394241.8</v>
      </c>
      <c r="O39" s="246">
        <f>SUM(O36:O38)</f>
        <v>5056468.714404068</v>
      </c>
      <c r="P39" s="266"/>
      <c r="Q39" s="246">
        <f>SUM(Q36:Q38)</f>
        <v>3162226.9144040728</v>
      </c>
      <c r="R39" s="260">
        <f>SUM(R36:R38)</f>
        <v>382987.8</v>
      </c>
      <c r="S39" s="246">
        <f>SUM(S36:S38)</f>
        <v>3545214.7144040731</v>
      </c>
      <c r="T39" s="266"/>
      <c r="U39" s="246">
        <f>SUM(U36:U38)</f>
        <v>4162226.9144040728</v>
      </c>
      <c r="V39" s="260">
        <f>SUM(V36:V38)</f>
        <v>382987.8</v>
      </c>
      <c r="W39" s="246">
        <f>SUM(W36:W38)</f>
        <v>4545214.7144040735</v>
      </c>
      <c r="X39" s="266"/>
      <c r="Y39" s="246">
        <f>SUM(Y36:Y38)</f>
        <v>4162226.9144040728</v>
      </c>
      <c r="Z39" s="260">
        <f>SUM(Z36:Z38)</f>
        <v>382987.8</v>
      </c>
      <c r="AA39" s="246">
        <f>SUM(AA36:AA38)</f>
        <v>4545214.7144040735</v>
      </c>
      <c r="AD39" s="187"/>
    </row>
    <row r="40" spans="1:30" ht="21" customHeight="1" thickBot="1" x14ac:dyDescent="0.3">
      <c r="A40" s="22" t="s">
        <v>13</v>
      </c>
      <c r="B40" s="470"/>
      <c r="C40" s="856" t="s">
        <v>22</v>
      </c>
      <c r="D40" s="856"/>
      <c r="E40" s="856"/>
      <c r="F40" s="856"/>
      <c r="G40" s="856"/>
      <c r="H40" s="856"/>
      <c r="I40" s="856"/>
      <c r="J40" s="856"/>
      <c r="K40" s="856"/>
      <c r="L40" s="856"/>
      <c r="M40" s="856"/>
      <c r="N40" s="856"/>
      <c r="O40" s="856"/>
      <c r="P40" s="856"/>
      <c r="Q40" s="856"/>
      <c r="R40" s="856"/>
      <c r="S40" s="856"/>
      <c r="T40" s="856"/>
      <c r="U40" s="856"/>
      <c r="V40" s="856"/>
      <c r="W40" s="856"/>
      <c r="X40" s="573"/>
      <c r="Y40" s="573"/>
      <c r="Z40" s="573"/>
      <c r="AA40" s="573"/>
      <c r="AD40" s="187"/>
    </row>
    <row r="41" spans="1:30" ht="18.75" thickBot="1" x14ac:dyDescent="0.3">
      <c r="A41" s="22" t="s">
        <v>31</v>
      </c>
      <c r="B41" s="470"/>
      <c r="C41" s="265" t="s">
        <v>7</v>
      </c>
      <c r="D41" s="241"/>
      <c r="E41" s="270">
        <f>'ES CT Electric Table A  '!E39</f>
        <v>981537</v>
      </c>
      <c r="F41" s="270">
        <f>'[13]Table A '!$J$46</f>
        <v>248807.41835112253</v>
      </c>
      <c r="G41" s="241">
        <f>SUM(E41,F41)</f>
        <v>1230344.4183511226</v>
      </c>
      <c r="H41" s="242"/>
      <c r="I41" s="270">
        <f>'ES CT Electric Table A  '!G39</f>
        <v>813385</v>
      </c>
      <c r="J41" s="270">
        <f>'[14]Table A '!$F$41</f>
        <v>89281</v>
      </c>
      <c r="K41" s="241">
        <f>SUM(I41,J41)</f>
        <v>902666</v>
      </c>
      <c r="L41" s="242"/>
      <c r="M41" s="270">
        <f>'ES CT Electric Table A  '!J39</f>
        <v>902596.994695973</v>
      </c>
      <c r="N41" s="270">
        <f>'[14]Table A '!$H$41</f>
        <v>185015.46000000002</v>
      </c>
      <c r="O41" s="241">
        <f>SUM(M41,N41)</f>
        <v>1087612.4546959731</v>
      </c>
      <c r="P41" s="242"/>
      <c r="Q41" s="270">
        <f>'ES CT Electric Table A  '!N39</f>
        <v>902596.68469597294</v>
      </c>
      <c r="R41" s="270">
        <f>'[15]Table A '!K41</f>
        <v>185015.46000000002</v>
      </c>
      <c r="S41" s="241">
        <f>SUM(Q41,R41)</f>
        <v>1087612.144695973</v>
      </c>
      <c r="T41" s="242"/>
      <c r="U41" s="270">
        <f>'ES CT Electric Table A  '!Q39</f>
        <v>902596.994695973</v>
      </c>
      <c r="V41" s="270">
        <f>'[15]Table A '!N41</f>
        <v>185015.46000000002</v>
      </c>
      <c r="W41" s="241">
        <f>SUM(U41,V41)</f>
        <v>1087612.4546959731</v>
      </c>
      <c r="X41" s="242"/>
      <c r="Y41" s="270">
        <f>'ES CT Electric Table A  '!R39</f>
        <v>902596.994695973</v>
      </c>
      <c r="Z41" s="270">
        <f>'[15]Table A '!O41</f>
        <v>185015.46000000002</v>
      </c>
      <c r="AA41" s="241">
        <f>SUM(Y41,Z41)</f>
        <v>1087612.4546959731</v>
      </c>
      <c r="AD41" s="187"/>
    </row>
    <row r="42" spans="1:30" ht="18.75" thickBot="1" x14ac:dyDescent="0.3">
      <c r="A42" s="22" t="s">
        <v>18</v>
      </c>
      <c r="B42" s="470"/>
      <c r="C42" s="265" t="s">
        <v>134</v>
      </c>
      <c r="D42" s="241"/>
      <c r="E42" s="270">
        <f>'ES CT Electric Table A  '!E40</f>
        <v>321900</v>
      </c>
      <c r="F42" s="270">
        <f>'[13]Table A '!$J$47</f>
        <v>16986.64</v>
      </c>
      <c r="G42" s="241">
        <f>SUM(E42:F42)</f>
        <v>338886.64</v>
      </c>
      <c r="H42" s="242"/>
      <c r="I42" s="270">
        <f>'ES CT Electric Table A  '!G40</f>
        <v>428192.73</v>
      </c>
      <c r="J42" s="270">
        <f>'[14]Table A '!$F$42</f>
        <v>176012</v>
      </c>
      <c r="K42" s="241">
        <f>SUM(I42:J42)</f>
        <v>604204.73</v>
      </c>
      <c r="L42" s="242"/>
      <c r="M42" s="270">
        <f>'ES CT Electric Table A  '!J40</f>
        <v>430380.02805218601</v>
      </c>
      <c r="N42" s="270">
        <f>'[14]Table A '!$H$42</f>
        <v>121400</v>
      </c>
      <c r="O42" s="241">
        <f>SUM(M42:N42)</f>
        <v>551780.02805218601</v>
      </c>
      <c r="P42" s="242"/>
      <c r="Q42" s="270">
        <f>'ES CT Electric Table A  '!N40</f>
        <v>430380.02805218601</v>
      </c>
      <c r="R42" s="270">
        <f>'[15]Table A '!K42</f>
        <v>121400</v>
      </c>
      <c r="S42" s="241">
        <f>SUM(Q42:R42)</f>
        <v>551780.02805218601</v>
      </c>
      <c r="T42" s="242"/>
      <c r="U42" s="270">
        <f>'ES CT Electric Table A  '!Q40</f>
        <v>430380.02805218601</v>
      </c>
      <c r="V42" s="270">
        <f>'[15]Table A '!N42</f>
        <v>121400</v>
      </c>
      <c r="W42" s="241">
        <f>SUM(U42:V42)</f>
        <v>551780.02805218601</v>
      </c>
      <c r="X42" s="242"/>
      <c r="Y42" s="270">
        <f>'ES CT Electric Table A  '!R40</f>
        <v>430380.02805218601</v>
      </c>
      <c r="Z42" s="270">
        <f>'[15]Table A '!O42</f>
        <v>121400</v>
      </c>
      <c r="AA42" s="241">
        <f>SUM(Y42:Z42)</f>
        <v>551780.02805218601</v>
      </c>
      <c r="AD42" s="187"/>
    </row>
    <row r="43" spans="1:30" ht="18.75" thickBot="1" x14ac:dyDescent="0.3">
      <c r="A43" s="22" t="s">
        <v>31</v>
      </c>
      <c r="B43" s="470"/>
      <c r="C43" s="265" t="s">
        <v>193</v>
      </c>
      <c r="D43" s="241"/>
      <c r="E43" s="270">
        <f>'ES CT Electric Table A  '!E41</f>
        <v>549296.34</v>
      </c>
      <c r="F43" s="270">
        <f>'[13]Table A '!$J$48</f>
        <v>226790.70757555214</v>
      </c>
      <c r="G43" s="241">
        <f>SUM(E43:F43)</f>
        <v>776087.04757555213</v>
      </c>
      <c r="H43" s="242"/>
      <c r="I43" s="270">
        <f>'ES CT Electric Table A  '!G41</f>
        <v>734172</v>
      </c>
      <c r="J43" s="270">
        <f>'[14]Table A '!$F$43</f>
        <v>333097</v>
      </c>
      <c r="K43" s="241">
        <f>SUM(I43:J43)</f>
        <v>1067269</v>
      </c>
      <c r="L43" s="242"/>
      <c r="M43" s="270">
        <f>'ES CT Electric Table A  '!J41</f>
        <v>753170</v>
      </c>
      <c r="N43" s="270">
        <f>'[14]Table A '!$H$43</f>
        <v>194042.87</v>
      </c>
      <c r="O43" s="241">
        <f>SUM(M43:N43)</f>
        <v>947212.87</v>
      </c>
      <c r="P43" s="242"/>
      <c r="Q43" s="270">
        <f>'ES CT Electric Table A  '!N41</f>
        <v>703170</v>
      </c>
      <c r="R43" s="270">
        <f>'[15]Table A '!K43</f>
        <v>194042.87</v>
      </c>
      <c r="S43" s="241">
        <f>SUM(Q43:R43)</f>
        <v>897212.87</v>
      </c>
      <c r="T43" s="242"/>
      <c r="U43" s="270">
        <f>'ES CT Electric Table A  '!Q41</f>
        <v>703170</v>
      </c>
      <c r="V43" s="270">
        <f>'[15]Table A '!N43</f>
        <v>194042.87</v>
      </c>
      <c r="W43" s="241">
        <f>SUM(U43:V43)</f>
        <v>897212.87</v>
      </c>
      <c r="X43" s="242"/>
      <c r="Y43" s="270">
        <f>'ES CT Electric Table A  '!R41</f>
        <v>703170</v>
      </c>
      <c r="Z43" s="270">
        <f>'[15]Table A '!O43</f>
        <v>194042.87</v>
      </c>
      <c r="AA43" s="241">
        <f>SUM(Y43:Z43)</f>
        <v>897212.87</v>
      </c>
      <c r="AD43" s="187"/>
    </row>
    <row r="44" spans="1:30" ht="18.75" thickBot="1" x14ac:dyDescent="0.3">
      <c r="A44" s="22" t="s">
        <v>31</v>
      </c>
      <c r="B44" s="470"/>
      <c r="C44" s="265" t="s">
        <v>222</v>
      </c>
      <c r="D44" s="241"/>
      <c r="E44" s="270">
        <f>'ES CT Electric Table A  '!E42</f>
        <v>1920000</v>
      </c>
      <c r="F44" s="270">
        <f>'[13]Table A '!$J$49</f>
        <v>478387.94999999995</v>
      </c>
      <c r="G44" s="241">
        <f t="shared" ref="G44:G49" si="15">SUM(E44,F44)</f>
        <v>2398387.9500000002</v>
      </c>
      <c r="H44" s="242"/>
      <c r="I44" s="270">
        <f>'ES CT Electric Table A  '!G42</f>
        <v>1920000</v>
      </c>
      <c r="J44" s="270">
        <f>'[14]Table A '!$F$44</f>
        <v>480000</v>
      </c>
      <c r="K44" s="241">
        <f t="shared" ref="K44:K49" si="16">SUM(I44,J44)</f>
        <v>2400000</v>
      </c>
      <c r="L44" s="242"/>
      <c r="M44" s="270">
        <f>'ES CT Electric Table A  '!J42</f>
        <v>2880000</v>
      </c>
      <c r="N44" s="270">
        <f>'[14]Table A '!$H$44</f>
        <v>720000</v>
      </c>
      <c r="O44" s="241">
        <f t="shared" ref="O44:O49" si="17">SUM(M44,N44)</f>
        <v>3600000</v>
      </c>
      <c r="P44" s="242"/>
      <c r="Q44" s="270">
        <f>'ES CT Electric Table A  '!N42</f>
        <v>2880000</v>
      </c>
      <c r="R44" s="270">
        <f>'[15]Table A '!K44</f>
        <v>720000</v>
      </c>
      <c r="S44" s="241">
        <f t="shared" ref="S44:S49" si="18">SUM(Q44,R44)</f>
        <v>3600000</v>
      </c>
      <c r="T44" s="242"/>
      <c r="U44" s="270">
        <f>'ES CT Electric Table A  '!Q42</f>
        <v>2880000</v>
      </c>
      <c r="V44" s="270">
        <f>'[15]Table A '!N44</f>
        <v>720000</v>
      </c>
      <c r="W44" s="241">
        <f t="shared" ref="W44:W49" si="19">SUM(U44,V44)</f>
        <v>3600000</v>
      </c>
      <c r="X44" s="242"/>
      <c r="Y44" s="270">
        <f>'ES CT Electric Table A  '!R42</f>
        <v>2880000</v>
      </c>
      <c r="Z44" s="270">
        <f>'[15]Table A '!O44</f>
        <v>720000</v>
      </c>
      <c r="AA44" s="241">
        <f t="shared" ref="AA44:AA49" si="20">SUM(Y44,Z44)</f>
        <v>3600000</v>
      </c>
      <c r="AD44" s="187"/>
    </row>
    <row r="45" spans="1:30" ht="18.75" thickBot="1" x14ac:dyDescent="0.3">
      <c r="A45" s="22" t="s">
        <v>31</v>
      </c>
      <c r="B45" s="470"/>
      <c r="C45" s="265" t="s">
        <v>219</v>
      </c>
      <c r="D45" s="241"/>
      <c r="E45" s="270">
        <f>'ES CT Electric Table A  '!E43</f>
        <v>227298.42</v>
      </c>
      <c r="F45" s="270">
        <f>'[13]Table A '!$J$50</f>
        <v>52474.83</v>
      </c>
      <c r="G45" s="241">
        <f t="shared" si="15"/>
        <v>279773.25</v>
      </c>
      <c r="H45" s="242"/>
      <c r="I45" s="270">
        <f>'ES CT Electric Table A  '!G43</f>
        <v>256933</v>
      </c>
      <c r="J45" s="270">
        <f>'[14]Table A '!$F$45</f>
        <v>52635</v>
      </c>
      <c r="K45" s="241">
        <f t="shared" si="16"/>
        <v>309568</v>
      </c>
      <c r="L45" s="242"/>
      <c r="M45" s="270">
        <f>'ES CT Electric Table A  '!J43</f>
        <v>284232</v>
      </c>
      <c r="N45" s="270">
        <f>'[14]Table A '!$H$45</f>
        <v>71057</v>
      </c>
      <c r="O45" s="241">
        <f t="shared" si="17"/>
        <v>355289</v>
      </c>
      <c r="P45" s="242"/>
      <c r="Q45" s="270">
        <f>'ES CT Electric Table A  '!N43</f>
        <v>284232</v>
      </c>
      <c r="R45" s="270">
        <f>'[15]Table A '!K45</f>
        <v>71057</v>
      </c>
      <c r="S45" s="241">
        <f t="shared" si="18"/>
        <v>355289</v>
      </c>
      <c r="T45" s="242"/>
      <c r="U45" s="270">
        <f>'ES CT Electric Table A  '!Q43</f>
        <v>284232</v>
      </c>
      <c r="V45" s="270">
        <f>'[15]Table A '!N45</f>
        <v>71057</v>
      </c>
      <c r="W45" s="241">
        <f t="shared" si="19"/>
        <v>355289</v>
      </c>
      <c r="X45" s="242"/>
      <c r="Y45" s="270">
        <f>'ES CT Electric Table A  '!R43</f>
        <v>284232</v>
      </c>
      <c r="Z45" s="270">
        <f>'[15]Table A '!O45</f>
        <v>71057</v>
      </c>
      <c r="AA45" s="241">
        <f t="shared" si="20"/>
        <v>355289</v>
      </c>
      <c r="AD45" s="187"/>
    </row>
    <row r="46" spans="1:30" ht="18.75" thickBot="1" x14ac:dyDescent="0.3">
      <c r="A46" s="22" t="s">
        <v>31</v>
      </c>
      <c r="B46" s="470"/>
      <c r="C46" s="265" t="s">
        <v>8</v>
      </c>
      <c r="D46" s="241"/>
      <c r="E46" s="270">
        <f>'ES CT Electric Table A  '!E44</f>
        <v>1019170.2</v>
      </c>
      <c r="F46" s="270">
        <f>'[13]Table A '!$J$51</f>
        <v>156309.3132380016</v>
      </c>
      <c r="G46" s="241">
        <f t="shared" si="15"/>
        <v>1175479.5132380016</v>
      </c>
      <c r="H46" s="242"/>
      <c r="I46" s="270">
        <f>'ES CT Electric Table A  '!G44</f>
        <v>1606701</v>
      </c>
      <c r="J46" s="270">
        <f>'[14]Table A '!$F$46</f>
        <v>692058</v>
      </c>
      <c r="K46" s="241">
        <f t="shared" si="16"/>
        <v>2298759</v>
      </c>
      <c r="L46" s="242"/>
      <c r="M46" s="270">
        <f>'ES CT Electric Table A  '!J44</f>
        <v>1839096.9931665</v>
      </c>
      <c r="N46" s="270">
        <f>'[14]Table A '!$H$46</f>
        <v>1194375.3199999998</v>
      </c>
      <c r="O46" s="241">
        <f t="shared" si="17"/>
        <v>3033472.3131665001</v>
      </c>
      <c r="P46" s="242"/>
      <c r="Q46" s="270">
        <f>'ES CT Electric Table A  '!N44</f>
        <v>1839096.9931665</v>
      </c>
      <c r="R46" s="270">
        <f>'[15]Table A '!K46</f>
        <v>725375.32000000007</v>
      </c>
      <c r="S46" s="241">
        <f t="shared" si="18"/>
        <v>2564472.3131665001</v>
      </c>
      <c r="T46" s="242"/>
      <c r="U46" s="270">
        <f>'ES CT Electric Table A  '!Q44</f>
        <v>1839096.9931665</v>
      </c>
      <c r="V46" s="270">
        <f>'[15]Table A '!N46</f>
        <v>517375.31999999995</v>
      </c>
      <c r="W46" s="241">
        <f t="shared" si="19"/>
        <v>2356472.3131665001</v>
      </c>
      <c r="X46" s="242"/>
      <c r="Y46" s="270">
        <f>'ES CT Electric Table A  '!R44</f>
        <v>1839096.9931665</v>
      </c>
      <c r="Z46" s="270">
        <f>'[15]Table A '!O46</f>
        <v>517375.31999999995</v>
      </c>
      <c r="AA46" s="241">
        <f t="shared" si="20"/>
        <v>2356472.3131665001</v>
      </c>
      <c r="AD46" s="187"/>
    </row>
    <row r="47" spans="1:30" ht="18.75" thickBot="1" x14ac:dyDescent="0.3">
      <c r="A47" s="22" t="s">
        <v>31</v>
      </c>
      <c r="B47" s="470"/>
      <c r="C47" s="265" t="s">
        <v>220</v>
      </c>
      <c r="D47" s="241"/>
      <c r="E47" s="270">
        <f>'ES CT Electric Table A  '!E45</f>
        <v>380641</v>
      </c>
      <c r="F47" s="270">
        <f>'[13]Table A '!$J$52</f>
        <v>103999.73999999999</v>
      </c>
      <c r="G47" s="241">
        <f t="shared" si="15"/>
        <v>484640.74</v>
      </c>
      <c r="H47" s="242"/>
      <c r="I47" s="270">
        <f>'ES CT Electric Table A  '!G45</f>
        <v>394346</v>
      </c>
      <c r="J47" s="270">
        <f>'[14]Table A '!$F$47</f>
        <v>104000</v>
      </c>
      <c r="K47" s="241">
        <f t="shared" si="16"/>
        <v>498346</v>
      </c>
      <c r="L47" s="242"/>
      <c r="M47" s="270">
        <f>'ES CT Electric Table A  '!J45</f>
        <v>512001</v>
      </c>
      <c r="N47" s="270">
        <f>'[14]Table A '!$H$47</f>
        <v>128000</v>
      </c>
      <c r="O47" s="241">
        <f t="shared" si="17"/>
        <v>640001</v>
      </c>
      <c r="P47" s="242"/>
      <c r="Q47" s="270">
        <f>'ES CT Electric Table A  '!N45</f>
        <v>512001</v>
      </c>
      <c r="R47" s="270">
        <f>'[15]Table A '!K47</f>
        <v>128000</v>
      </c>
      <c r="S47" s="241">
        <f t="shared" si="18"/>
        <v>640001</v>
      </c>
      <c r="T47" s="242"/>
      <c r="U47" s="270">
        <f>'ES CT Electric Table A  '!Q45</f>
        <v>512001</v>
      </c>
      <c r="V47" s="270">
        <f>'[15]Table A '!N47</f>
        <v>128000</v>
      </c>
      <c r="W47" s="241">
        <f t="shared" si="19"/>
        <v>640001</v>
      </c>
      <c r="X47" s="242"/>
      <c r="Y47" s="270">
        <f>'ES CT Electric Table A  '!R45</f>
        <v>512001</v>
      </c>
      <c r="Z47" s="270">
        <f>'[15]Table A '!O47</f>
        <v>128000</v>
      </c>
      <c r="AA47" s="241">
        <f t="shared" si="20"/>
        <v>640001</v>
      </c>
      <c r="AD47" s="187"/>
    </row>
    <row r="48" spans="1:30" ht="18.75" thickBot="1" x14ac:dyDescent="0.3">
      <c r="A48" s="22" t="s">
        <v>31</v>
      </c>
      <c r="B48" s="470"/>
      <c r="C48" s="265" t="s">
        <v>223</v>
      </c>
      <c r="D48" s="241"/>
      <c r="E48" s="270">
        <f>'ES CT Electric Table A  '!E46</f>
        <v>60000</v>
      </c>
      <c r="F48" s="270">
        <f>'[13]Table A '!$J$53</f>
        <v>3903.5900000000038</v>
      </c>
      <c r="G48" s="241">
        <f t="shared" si="15"/>
        <v>63903.590000000004</v>
      </c>
      <c r="H48" s="242"/>
      <c r="I48" s="270">
        <f>'ES CT Electric Table A  '!G46</f>
        <v>60000</v>
      </c>
      <c r="J48" s="270">
        <f>'[14]Table A '!$F$48</f>
        <v>24000</v>
      </c>
      <c r="K48" s="241">
        <f t="shared" si="16"/>
        <v>84000</v>
      </c>
      <c r="L48" s="242"/>
      <c r="M48" s="270">
        <f>'ES CT Electric Table A  '!J46</f>
        <v>60000</v>
      </c>
      <c r="N48" s="270">
        <f>'[14]Table A '!$H$48</f>
        <v>24000</v>
      </c>
      <c r="O48" s="241">
        <f t="shared" si="17"/>
        <v>84000</v>
      </c>
      <c r="P48" s="242"/>
      <c r="Q48" s="270">
        <f>'ES CT Electric Table A  '!N46</f>
        <v>60000</v>
      </c>
      <c r="R48" s="270">
        <f>'[15]Table A '!K48</f>
        <v>24000</v>
      </c>
      <c r="S48" s="241">
        <f t="shared" si="18"/>
        <v>84000</v>
      </c>
      <c r="T48" s="242"/>
      <c r="U48" s="270">
        <f>'ES CT Electric Table A  '!Q46</f>
        <v>60000</v>
      </c>
      <c r="V48" s="270">
        <f>'[15]Table A '!N48</f>
        <v>24000</v>
      </c>
      <c r="W48" s="241">
        <f t="shared" si="19"/>
        <v>84000</v>
      </c>
      <c r="X48" s="242"/>
      <c r="Y48" s="270">
        <f>'ES CT Electric Table A  '!R46</f>
        <v>60000</v>
      </c>
      <c r="Z48" s="270">
        <f>'[15]Table A '!O48</f>
        <v>24000</v>
      </c>
      <c r="AA48" s="241">
        <f t="shared" si="20"/>
        <v>84000</v>
      </c>
      <c r="AD48" s="187"/>
    </row>
    <row r="49" spans="1:30" ht="18.75" thickBot="1" x14ac:dyDescent="0.3">
      <c r="A49" s="22" t="s">
        <v>31</v>
      </c>
      <c r="B49" s="470"/>
      <c r="C49" s="238" t="s">
        <v>221</v>
      </c>
      <c r="D49" s="241"/>
      <c r="E49" s="270">
        <f>'ES CT Electric Table A  '!E47</f>
        <v>7770609</v>
      </c>
      <c r="F49" s="270">
        <f>'[13]Table A '!$J$54</f>
        <v>993299.11</v>
      </c>
      <c r="G49" s="241">
        <f t="shared" si="15"/>
        <v>8763908.1099999994</v>
      </c>
      <c r="H49" s="242"/>
      <c r="I49" s="270">
        <f>'ES CT Electric Table A  '!G47</f>
        <v>8681482</v>
      </c>
      <c r="J49" s="270">
        <f>'[14]Table A '!$F$49</f>
        <v>2459136</v>
      </c>
      <c r="K49" s="241">
        <f t="shared" si="16"/>
        <v>11140618</v>
      </c>
      <c r="L49" s="242"/>
      <c r="M49" s="270">
        <f>'ES CT Electric Table A  '!J47</f>
        <v>7813074</v>
      </c>
      <c r="N49" s="270">
        <f>'[14]Table A '!$H$49</f>
        <v>1651949.666707699</v>
      </c>
      <c r="O49" s="241">
        <f t="shared" si="17"/>
        <v>9465023.6667076983</v>
      </c>
      <c r="P49" s="242"/>
      <c r="Q49" s="270">
        <f>'ES CT Electric Table A  '!N47</f>
        <v>6849349.3876250004</v>
      </c>
      <c r="R49" s="270">
        <f>'[15]Table A '!K49</f>
        <v>1622695.7405837211</v>
      </c>
      <c r="S49" s="241">
        <f t="shared" si="18"/>
        <v>8472045.1282087211</v>
      </c>
      <c r="T49" s="242"/>
      <c r="U49" s="270">
        <f>'ES CT Electric Table A  '!Q47</f>
        <v>6935064.1394624999</v>
      </c>
      <c r="V49" s="270">
        <f>'[15]Table A '!N49</f>
        <v>1590620.7277157677</v>
      </c>
      <c r="W49" s="241">
        <f t="shared" si="19"/>
        <v>8525684.8671782669</v>
      </c>
      <c r="X49" s="242"/>
      <c r="Y49" s="270">
        <f>'ES CT Electric Table A  '!R47</f>
        <v>6918454.2825812511</v>
      </c>
      <c r="Z49" s="270">
        <v>1581063</v>
      </c>
      <c r="AA49" s="241">
        <f t="shared" si="20"/>
        <v>8499517.2825812511</v>
      </c>
      <c r="AD49" s="187"/>
    </row>
    <row r="50" spans="1:30" s="82" customFormat="1" ht="18.75" thickBot="1" x14ac:dyDescent="0.3">
      <c r="A50" s="574"/>
      <c r="B50" s="471"/>
      <c r="C50" s="259" t="s">
        <v>281</v>
      </c>
      <c r="D50" s="246"/>
      <c r="E50" s="246">
        <f>SUM(E41:E49)</f>
        <v>13230451.960000001</v>
      </c>
      <c r="F50" s="260">
        <f>SUM(F41:F49)</f>
        <v>2280959.2991646761</v>
      </c>
      <c r="G50" s="246">
        <f>SUM(G41:G49)</f>
        <v>15511411.259164676</v>
      </c>
      <c r="H50" s="266"/>
      <c r="I50" s="246">
        <f>SUM(I41:I49)</f>
        <v>14895211.73</v>
      </c>
      <c r="J50" s="260">
        <f>SUM(J41:J49)</f>
        <v>4410219</v>
      </c>
      <c r="K50" s="246">
        <f>SUM(K41:K49)</f>
        <v>19305430.73</v>
      </c>
      <c r="L50" s="266"/>
      <c r="M50" s="246">
        <f>SUM(M41:M49)</f>
        <v>15474551.01591466</v>
      </c>
      <c r="N50" s="260">
        <f>SUM(N41:N49)</f>
        <v>4289840.3167076986</v>
      </c>
      <c r="O50" s="246">
        <f>SUM(O41:O49)</f>
        <v>19764391.332622357</v>
      </c>
      <c r="P50" s="266"/>
      <c r="Q50" s="246">
        <f>SUM(Q41:Q49)</f>
        <v>14460826.093539659</v>
      </c>
      <c r="R50" s="260">
        <f>SUM(R41:R49)</f>
        <v>3791586.3905837215</v>
      </c>
      <c r="S50" s="246">
        <f>SUM(S41:S49)</f>
        <v>18252412.484123379</v>
      </c>
      <c r="T50" s="266"/>
      <c r="U50" s="246">
        <f>SUM(U41:U49)</f>
        <v>14546541.155377159</v>
      </c>
      <c r="V50" s="260">
        <f>SUM(V41:V49)</f>
        <v>3551511.3777157674</v>
      </c>
      <c r="W50" s="246">
        <f>SUM(W41:W49)</f>
        <v>18098052.533092923</v>
      </c>
      <c r="X50" s="266"/>
      <c r="Y50" s="246">
        <f>SUM(Y41:Y49)</f>
        <v>14529931.298495911</v>
      </c>
      <c r="Z50" s="260">
        <f>SUM(Z41:Z49)</f>
        <v>3541953.65</v>
      </c>
      <c r="AA50" s="246">
        <f>SUM(AA41:AA49)</f>
        <v>18071884.94849591</v>
      </c>
      <c r="AD50" s="187"/>
    </row>
    <row r="51" spans="1:30" ht="18.75" hidden="1" thickBot="1" x14ac:dyDescent="0.3">
      <c r="A51" s="22"/>
      <c r="B51" s="470"/>
      <c r="C51" s="259" t="s">
        <v>100</v>
      </c>
      <c r="D51" s="271"/>
      <c r="E51" s="271"/>
      <c r="F51" s="272"/>
      <c r="G51" s="271"/>
      <c r="H51" s="247"/>
      <c r="I51" s="271"/>
      <c r="J51" s="272"/>
      <c r="K51" s="271"/>
      <c r="L51" s="247"/>
      <c r="M51" s="271"/>
      <c r="N51" s="272"/>
      <c r="O51" s="271"/>
      <c r="P51" s="247"/>
      <c r="Q51" s="271"/>
      <c r="R51" s="272"/>
      <c r="S51" s="271"/>
      <c r="T51" s="247"/>
      <c r="U51" s="271"/>
      <c r="V51" s="272"/>
      <c r="W51" s="271"/>
      <c r="X51" s="247"/>
      <c r="Y51" s="271"/>
      <c r="Z51" s="272"/>
      <c r="AA51" s="271"/>
      <c r="AD51" s="187"/>
    </row>
    <row r="52" spans="1:30" s="84" customFormat="1" ht="18.75" hidden="1" thickBot="1" x14ac:dyDescent="0.3">
      <c r="A52" s="575"/>
      <c r="B52" s="472"/>
      <c r="C52" s="273" t="s">
        <v>25</v>
      </c>
      <c r="D52" s="274"/>
      <c r="E52" s="274">
        <f>SUM(E12,E13,E14,E15,E16,E17,E30*0.8,E32*0.5,E31*0.5,E33*0.8,E36,E42*0.8,E26)</f>
        <v>64479137.087000005</v>
      </c>
      <c r="F52" s="274">
        <f>SUM(F12,F13,F14,F15,F16,F17,F30*0.8,F32*0.5,F31*0.5,F33*0.8,F36,F42*0.8,F26)</f>
        <v>11136597.375508131</v>
      </c>
      <c r="G52" s="274">
        <f>SUM(G12,G13,G14,G15,G16,G17,G30*0.8,G32*0.5,G31*0.5,G33*0.8,G36,G42*0.8,G26)</f>
        <v>75615734.462508127</v>
      </c>
      <c r="H52" s="276"/>
      <c r="I52" s="274">
        <f>SUM(I12,I13,I14,I15,I16,I17,I30*0.8,I32*0.5,I31*0.5,I33*0.8,I36,I42*0.8,I26)</f>
        <v>82635319.318000004</v>
      </c>
      <c r="J52" s="274">
        <f>SUM(J12,J13,J14,J15,J16,J17,J30*0.8,J32*0.5,J31*0.5,J33*0.8,J36,J42*0.8,J26)</f>
        <v>17317727.09</v>
      </c>
      <c r="K52" s="274">
        <f>SUM(K12,K13,K14,K15,K16,K17,K30*0.8,K32*0.5,K31*0.5,K33*0.8,K36,K42*0.8,K26)</f>
        <v>99953046.408000007</v>
      </c>
      <c r="L52" s="276"/>
      <c r="M52" s="274">
        <f>SUM(M12,M13,M14,M15,M16,M17,M30*0.8,M32*0.5,M31*0.5,M33*0.8,M36,M42*0.8,M26)</f>
        <v>74018099.7775172</v>
      </c>
      <c r="N52" s="274">
        <f>SUM(N12,N13,N14,N15,N16,N17,N30*0.8,N32*0.5,N31*0.5,N33*0.8,N36,N42*0.8,N26)</f>
        <v>12809443.829357263</v>
      </c>
      <c r="O52" s="274">
        <f>SUM(O12,O13,O14,O15,O16,O17,O30*0.8,O32*0.5,O31*0.5,O33*0.8,O36,O42*0.8,O26)</f>
        <v>86827543.606874466</v>
      </c>
      <c r="P52" s="276"/>
      <c r="Q52" s="274">
        <f>SUM(Q12,Q13,Q14,Q15,Q16,Q17,Q30*0.8,Q32*0.5,Q31*0.5,Q33*0.8,Q36,Q42*0.8,Q26)</f>
        <v>64782624.777517207</v>
      </c>
      <c r="R52" s="274">
        <f>SUM(R12,R13,R14,R15,R16,R17,R30*0.8,R32*0.5,R31*0.5,R33*0.8,R36,R42*0.8,R26)</f>
        <v>13561597.0646185</v>
      </c>
      <c r="S52" s="274">
        <f>SUM(S12,S13,S14,S15,S16,S17,S30*0.8,S32*0.5,S31*0.5,S33*0.8,S36,S42*0.8,S26)</f>
        <v>78344221.842135698</v>
      </c>
      <c r="T52" s="276"/>
      <c r="U52" s="274">
        <f>SUM(U12,U13,U14,U15,U16,U17,U30*0.8,U32*0.5,U31*0.5,U33*0.8,U36,U42*0.8,U26)</f>
        <v>65245274.777517207</v>
      </c>
      <c r="V52" s="274">
        <f>SUM(V12,V13,V14,V15,V16,V17,V30*0.8,V32*0.5,V31*0.5,V33*0.8,V36,V42*0.8,V26)</f>
        <v>13518374.906626916</v>
      </c>
      <c r="W52" s="274">
        <f>SUM(W12,W13,W14,W15,W16,W17,W30*0.8,W32*0.5,W31*0.5,W33*0.8,W36,W42*0.8,W26)</f>
        <v>78763649.684144109</v>
      </c>
      <c r="X52" s="276"/>
      <c r="Y52" s="274">
        <f>SUM(Y12,Y13,Y14,Y15,Y16,Y17,Y30*0.8,Y32*0.5,Y31*0.5,Y33*0.8,Y36,Y42*0.8,Y26)</f>
        <v>65064454.777517207</v>
      </c>
      <c r="Z52" s="274">
        <f>SUM(Z12,Z13,Z14,Z15,Z16,Z17,Z30*0.8,Z32*0.5,Z31*0.5,Z33*0.8,Z36,Z42*0.8,Z26)</f>
        <v>13440765.83750413</v>
      </c>
      <c r="AA52" s="274">
        <f>SUM(AA12,AA13,AA14,AA15,AA16,AA17,AA30*0.8,AA32*0.5,AA31*0.5,AA33*0.8,AA36,AA42*0.8,AA26)</f>
        <v>78505220.615021333</v>
      </c>
      <c r="AD52" s="187"/>
    </row>
    <row r="53" spans="1:30" s="84" customFormat="1" ht="18.75" hidden="1" thickBot="1" x14ac:dyDescent="0.3">
      <c r="A53" s="575"/>
      <c r="B53" s="472"/>
      <c r="C53" s="273" t="s">
        <v>26</v>
      </c>
      <c r="D53" s="274"/>
      <c r="E53" s="274">
        <f>SUM(E20,E21,E22,E23,E30*0.2,E32*0.5,E33*0.2,E31*0.5,E37,E27,E42*0.2)</f>
        <v>70138921.352999985</v>
      </c>
      <c r="F53" s="274">
        <f>SUM(F20,F21,F22,F23,F30*0.2,F32*0.5,F33*0.2,F31*0.5,F37,F27,F42*0.2)</f>
        <v>20256458.515616056</v>
      </c>
      <c r="G53" s="274">
        <f>SUM(G20,G21,G22,G23,G30*0.2,G32*0.5,G33*0.2,G31*0.5,G37,G27,G42*0.2)</f>
        <v>90395379.868616045</v>
      </c>
      <c r="H53" s="276"/>
      <c r="I53" s="274">
        <f>SUM(I20,I21,I22,I23,I30*0.2,I32*0.5,I33*0.2,I31*0.5,I37,I27,I42*0.2)</f>
        <v>65716981.031999998</v>
      </c>
      <c r="J53" s="274">
        <f>SUM(J20,J21,J22,J23,J30*0.2,J32*0.5,J33*0.2,J31*0.5,J37,J27,J42*0.2)</f>
        <v>21487555.559999999</v>
      </c>
      <c r="K53" s="274">
        <f>SUM(K20,K21,K22,K23,K30*0.2,K32*0.5,K33*0.2,K31*0.5,K37,K27,K42*0.2)</f>
        <v>87204536.591999978</v>
      </c>
      <c r="L53" s="276"/>
      <c r="M53" s="274">
        <f>SUM(M20,M21,M22,M23,M30*0.2,M32*0.5,M33*0.2,M31*0.5,M37,M27,M42*0.2)</f>
        <v>75706282.684365869</v>
      </c>
      <c r="N53" s="274">
        <f>SUM(N20,N21,N22,N23,N30*0.2,N32*0.5,N33*0.2,N31*0.5,N37,N27,N42*0.2)</f>
        <v>17784866.054796711</v>
      </c>
      <c r="O53" s="274">
        <f>SUM(O20,O21,O22,O23,O30*0.2,O32*0.5,O33*0.2,O31*0.5,O37,O27,O42*0.2)</f>
        <v>93491148.739162579</v>
      </c>
      <c r="P53" s="276"/>
      <c r="Q53" s="274">
        <f>SUM(Q20,Q21,Q22,Q23,Q30*0.2,Q32*0.5,Q33*0.2,Q31*0.5,Q37,Q27,Q42*0.2)</f>
        <v>65717267.684365869</v>
      </c>
      <c r="R53" s="274">
        <f>SUM(R20,R21,R22,R23,R30*0.2,R32*0.5,R33*0.2,R31*0.5,R37,R27,R42*0.2)</f>
        <v>16916634.294172153</v>
      </c>
      <c r="S53" s="274">
        <f>SUM(S20,S21,S22,S23,S30*0.2,S32*0.5,S33*0.2,S31*0.5,S37,S27,S42*0.2)</f>
        <v>82633901.978538021</v>
      </c>
      <c r="T53" s="276"/>
      <c r="U53" s="274">
        <f>SUM(U20,U21,U22,U23,U30*0.2,U32*0.5,U33*0.2,U31*0.5,U37,U27,U42*0.2)</f>
        <v>66968917.684365876</v>
      </c>
      <c r="V53" s="274">
        <f>SUM(V20,V21,V22,V23,V30*0.2,V32*0.5,V33*0.2,V31*0.5,V37,V27,V42*0.2)</f>
        <v>16526356.197688434</v>
      </c>
      <c r="W53" s="274">
        <f>SUM(W20,W21,W22,W23,W30*0.2,W32*0.5,W33*0.2,W31*0.5,W37,W27,W42*0.2)</f>
        <v>83495273.882054299</v>
      </c>
      <c r="X53" s="276"/>
      <c r="Y53" s="274">
        <f>SUM(Y20,Y21,Y22,Y23,Y30*0.2,Y32*0.5,Y33*0.2,Y31*0.5,Y37,Y27,Y42*0.2)</f>
        <v>66817540.58436586</v>
      </c>
      <c r="Z53" s="274">
        <f>SUM(Z20,Z21,Z22,Z23,Z30*0.2,Z32*0.5,Z33*0.2,Z31*0.5,Z37,Z27,Z42*0.2)</f>
        <v>16412813.844507549</v>
      </c>
      <c r="AA53" s="274">
        <f>SUM(AA20,AA21,AA22,AA23,AA30*0.2,AA32*0.5,AA33*0.2,AA31*0.5,AA37,AA27,AA42*0.2)</f>
        <v>83230354.42887342</v>
      </c>
      <c r="AD53" s="187"/>
    </row>
    <row r="54" spans="1:30" s="84" customFormat="1" ht="18.75" hidden="1" thickBot="1" x14ac:dyDescent="0.3">
      <c r="A54" s="22"/>
      <c r="B54" s="470"/>
      <c r="C54" s="273" t="s">
        <v>152</v>
      </c>
      <c r="D54" s="274"/>
      <c r="E54" s="274">
        <f>SUM(E38,E41,E43,E44,E45,E46,E47,E48,E49)</f>
        <v>13044579.399999999</v>
      </c>
      <c r="F54" s="275">
        <f>SUM(F38,F41,F43,F44,F45,F46,F47,F48,F49)</f>
        <v>2289831.219164676</v>
      </c>
      <c r="G54" s="275">
        <f>SUM(G38,G41,G43,G44,G45,G46,G47,G48,G49)</f>
        <v>15334410.619164675</v>
      </c>
      <c r="H54" s="276"/>
      <c r="I54" s="274">
        <f>SUM(I38,I41,I43,I44,I45,I46,I47,I48,I49)</f>
        <v>14518852</v>
      </c>
      <c r="J54" s="275">
        <f>SUM(J38,J41,J43,J44,J45,J46,J47,J48,J49)</f>
        <v>4241395</v>
      </c>
      <c r="K54" s="275">
        <f>SUM(K38,K41,K43,K44,K45,K46,K47,K48,K49)</f>
        <v>18760247</v>
      </c>
      <c r="L54" s="276"/>
      <c r="M54" s="274">
        <f>SUM(M38,M41,M43,M44,M45,M46,M47,M48,M49)</f>
        <v>15206397.847191092</v>
      </c>
      <c r="N54" s="275">
        <f>SUM(N38,N41,N43,N44,N45,N46,N47,N48,N49)</f>
        <v>4319690.1167076984</v>
      </c>
      <c r="O54" s="275">
        <f>SUM(O38,O41,O43,O44,O45,O46,O47,O48,O49)</f>
        <v>19526087.963898789</v>
      </c>
      <c r="P54" s="276"/>
      <c r="Q54" s="274">
        <f>SUM(Q38,Q41,Q43,Q44,Q45,Q46,Q47,Q48,Q49)</f>
        <v>14192672.924816091</v>
      </c>
      <c r="R54" s="275">
        <f>SUM(R38,R41,R43,R44,R45,R46,R47,R48,R49)</f>
        <v>3821436.1905837213</v>
      </c>
      <c r="S54" s="275">
        <f>SUM(S38,S41,S43,S44,S45,S46,S47,S48,S49)</f>
        <v>18014109.115399815</v>
      </c>
      <c r="T54" s="276"/>
      <c r="U54" s="274">
        <f>SUM(U38,U41,U43,U44,U45,U46,U47,U48,U49)</f>
        <v>14278387.986653591</v>
      </c>
      <c r="V54" s="275">
        <f>SUM(V38,V41,V43,V44,V45,V46,V47,V48,V49)</f>
        <v>3581361.1777157672</v>
      </c>
      <c r="W54" s="275">
        <f>SUM(W38,W41,W43,W44,W45,W46,W47,W48,W49)</f>
        <v>17859749.16436936</v>
      </c>
      <c r="X54" s="276"/>
      <c r="Y54" s="274">
        <f>SUM(Y38,Y41,Y43,Y44,Y45,Y46,Y47,Y48,Y49)</f>
        <v>14261778.129772343</v>
      </c>
      <c r="Z54" s="275">
        <f>SUM(Z38,Z41,Z43,Z44,Z45,Z46,Z47,Z48,Z49)</f>
        <v>3571803.4499999997</v>
      </c>
      <c r="AA54" s="275">
        <f>SUM(AA38,AA41,AA43,AA44,AA45,AA46,AA47,AA48,AA49)</f>
        <v>17833581.579772342</v>
      </c>
      <c r="AD54" s="187"/>
    </row>
    <row r="55" spans="1:30" s="84" customFormat="1" ht="18.75" hidden="1" thickBot="1" x14ac:dyDescent="0.3">
      <c r="A55" s="22"/>
      <c r="B55" s="470"/>
      <c r="C55" s="273" t="s">
        <v>224</v>
      </c>
      <c r="D55" s="274"/>
      <c r="E55" s="274">
        <f t="shared" ref="E55:AA55" si="21">E56</f>
        <v>147662637.84</v>
      </c>
      <c r="F55" s="275">
        <f t="shared" si="21"/>
        <v>33682887.110288866</v>
      </c>
      <c r="G55" s="274">
        <f t="shared" si="21"/>
        <v>181345524.95028886</v>
      </c>
      <c r="H55" s="276"/>
      <c r="I55" s="274">
        <f t="shared" si="21"/>
        <v>162871152.34999999</v>
      </c>
      <c r="J55" s="275">
        <f t="shared" si="21"/>
        <v>43046677.649999999</v>
      </c>
      <c r="K55" s="274">
        <f t="shared" si="21"/>
        <v>205917830</v>
      </c>
      <c r="L55" s="276"/>
      <c r="M55" s="274">
        <f t="shared" si="21"/>
        <v>164930780.30907416</v>
      </c>
      <c r="N55" s="275">
        <f t="shared" si="21"/>
        <v>34914000.000861675</v>
      </c>
      <c r="O55" s="274">
        <f t="shared" si="21"/>
        <v>199844780.30993581</v>
      </c>
      <c r="P55" s="276"/>
      <c r="Q55" s="274">
        <f t="shared" si="21"/>
        <v>144692565.38669917</v>
      </c>
      <c r="R55" s="275">
        <f t="shared" si="21"/>
        <v>34299667.549374372</v>
      </c>
      <c r="S55" s="274">
        <f t="shared" si="21"/>
        <v>178992232.93607351</v>
      </c>
      <c r="T55" s="276"/>
      <c r="U55" s="274">
        <f t="shared" si="21"/>
        <v>146492580.44853666</v>
      </c>
      <c r="V55" s="275">
        <f t="shared" si="21"/>
        <v>33626092.282031119</v>
      </c>
      <c r="W55" s="274">
        <f t="shared" si="21"/>
        <v>180118672.73056775</v>
      </c>
      <c r="X55" s="276"/>
      <c r="Y55" s="274">
        <f t="shared" si="21"/>
        <v>146143773.49165541</v>
      </c>
      <c r="Z55" s="275">
        <f t="shared" si="21"/>
        <v>33425383.132011678</v>
      </c>
      <c r="AA55" s="274">
        <f t="shared" si="21"/>
        <v>179569156.62366712</v>
      </c>
      <c r="AD55" s="187"/>
    </row>
    <row r="56" spans="1:30" s="82" customFormat="1" ht="18.75" thickBot="1" x14ac:dyDescent="0.3">
      <c r="A56" s="574"/>
      <c r="B56" s="471"/>
      <c r="C56" s="259" t="s">
        <v>194</v>
      </c>
      <c r="D56" s="277"/>
      <c r="E56" s="246">
        <f>SUM(E52:E54)</f>
        <v>147662637.84</v>
      </c>
      <c r="F56" s="260">
        <f>SUM(F52:F54)</f>
        <v>33682887.110288866</v>
      </c>
      <c r="G56" s="277">
        <f>SUM(G52:G54)</f>
        <v>181345524.95028886</v>
      </c>
      <c r="H56" s="266"/>
      <c r="I56" s="246">
        <f>SUM(I52:I54)</f>
        <v>162871152.34999999</v>
      </c>
      <c r="J56" s="260">
        <f>SUM(J52:J54)</f>
        <v>43046677.649999999</v>
      </c>
      <c r="K56" s="277">
        <f>SUM(K52:K54)</f>
        <v>205917830</v>
      </c>
      <c r="L56" s="266"/>
      <c r="M56" s="246">
        <f>SUM(M52:M54)</f>
        <v>164930780.30907416</v>
      </c>
      <c r="N56" s="260">
        <f>SUM(N52:N54)</f>
        <v>34914000.000861675</v>
      </c>
      <c r="O56" s="277">
        <f>SUM(O52:O54)</f>
        <v>199844780.30993581</v>
      </c>
      <c r="P56" s="266"/>
      <c r="Q56" s="246">
        <f>SUM(Q52:Q54)</f>
        <v>144692565.38669917</v>
      </c>
      <c r="R56" s="260">
        <f>SUM(R52:R54)</f>
        <v>34299667.549374372</v>
      </c>
      <c r="S56" s="277">
        <f>SUM(S52:S54)</f>
        <v>178992232.93607351</v>
      </c>
      <c r="T56" s="266"/>
      <c r="U56" s="246">
        <f>SUM(U52:U54)</f>
        <v>146492580.44853666</v>
      </c>
      <c r="V56" s="260">
        <f>SUM(V52:V54)</f>
        <v>33626092.282031119</v>
      </c>
      <c r="W56" s="277">
        <f>SUM(W52:W54)</f>
        <v>180118672.73056775</v>
      </c>
      <c r="X56" s="266"/>
      <c r="Y56" s="246">
        <f>SUM(Y52:Y54)</f>
        <v>146143773.49165541</v>
      </c>
      <c r="Z56" s="260">
        <f>SUM(Z52:Z54)</f>
        <v>33425383.132011678</v>
      </c>
      <c r="AA56" s="277">
        <f>SUM(AA52:AA54)</f>
        <v>179569156.62366712</v>
      </c>
      <c r="AD56" s="187"/>
    </row>
    <row r="57" spans="1:30" ht="15.75" x14ac:dyDescent="0.25">
      <c r="A57" s="5"/>
      <c r="C57" s="83"/>
      <c r="E57" s="21"/>
    </row>
    <row r="59" spans="1:30" ht="42.75" customHeight="1" x14ac:dyDescent="0.2">
      <c r="C59" s="237"/>
      <c r="D59" s="184"/>
      <c r="E59" s="184"/>
      <c r="F59" s="184"/>
      <c r="G59" s="184"/>
    </row>
  </sheetData>
  <mergeCells count="7">
    <mergeCell ref="C6:C9"/>
    <mergeCell ref="C29:W29"/>
    <mergeCell ref="C35:W35"/>
    <mergeCell ref="C25:W25"/>
    <mergeCell ref="C40:W40"/>
    <mergeCell ref="C11:W11"/>
    <mergeCell ref="C19:W19"/>
  </mergeCells>
  <phoneticPr fontId="11" type="noConversion"/>
  <pageMargins left="0.25" right="0.25" top="0.5" bottom="0.68" header="0.22" footer="0.23"/>
  <pageSetup scale="35" orientation="landscape"/>
  <headerFooter alignWithMargins="0">
    <oddFooter xml:space="preserve">&amp;C
&amp;R&amp;14
</oddFooter>
  </headerFooter>
  <ignoredErrors>
    <ignoredError sqref="G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2:N51"/>
  <sheetViews>
    <sheetView showGridLines="0" zoomScale="75" zoomScaleNormal="75" workbookViewId="0">
      <selection activeCell="J40" sqref="J40"/>
    </sheetView>
  </sheetViews>
  <sheetFormatPr defaultRowHeight="12.75" x14ac:dyDescent="0.2"/>
  <cols>
    <col min="2" max="2" width="39.28515625" customWidth="1"/>
    <col min="3" max="3" width="3.5703125" customWidth="1"/>
    <col min="4" max="4" width="18.7109375" bestFit="1" customWidth="1"/>
    <col min="5" max="5" width="13.28515625" customWidth="1"/>
    <col min="6" max="6" width="17.5703125" customWidth="1"/>
    <col min="7" max="7" width="18.7109375" customWidth="1"/>
    <col min="8" max="8" width="16.42578125" customWidth="1"/>
    <col min="9" max="9" width="20.5703125" bestFit="1" customWidth="1"/>
    <col min="10" max="10" width="12" customWidth="1"/>
    <col min="11" max="11" width="12.140625" customWidth="1"/>
    <col min="12" max="12" width="11.140625" customWidth="1"/>
    <col min="13" max="13" width="10" customWidth="1"/>
    <col min="14" max="14" width="11.5703125" customWidth="1"/>
  </cols>
  <sheetData>
    <row r="2" spans="2:10" ht="54" customHeight="1" x14ac:dyDescent="0.35">
      <c r="B2" s="868" t="s">
        <v>326</v>
      </c>
      <c r="C2" s="869"/>
      <c r="D2" s="869"/>
      <c r="E2" s="869"/>
      <c r="F2" s="869"/>
      <c r="G2" s="869"/>
      <c r="H2" s="869"/>
      <c r="I2" s="869"/>
      <c r="J2" s="869"/>
    </row>
    <row r="3" spans="2:10" ht="23.25" x14ac:dyDescent="0.35">
      <c r="B3" s="869" t="s">
        <v>146</v>
      </c>
      <c r="C3" s="869"/>
      <c r="D3" s="869"/>
      <c r="E3" s="869"/>
      <c r="F3" s="869"/>
      <c r="G3" s="869"/>
      <c r="H3" s="869"/>
      <c r="I3" s="869"/>
      <c r="J3" s="869"/>
    </row>
    <row r="24" spans="2:14" ht="13.5" customHeight="1" x14ac:dyDescent="0.2"/>
    <row r="25" spans="2:14" ht="13.5" customHeight="1" x14ac:dyDescent="0.2"/>
    <row r="26" spans="2:14" s="4" customFormat="1" ht="13.5" customHeight="1" x14ac:dyDescent="0.2"/>
    <row r="27" spans="2:14" s="4" customFormat="1" ht="13.5" customHeight="1" x14ac:dyDescent="0.2">
      <c r="B27" s="875"/>
      <c r="C27" s="876"/>
      <c r="D27" s="876"/>
      <c r="E27" s="876"/>
    </row>
    <row r="29" spans="2:14" ht="72.75" customHeight="1" x14ac:dyDescent="0.2">
      <c r="B29" s="473" t="s">
        <v>47</v>
      </c>
      <c r="C29" s="870" t="s">
        <v>329</v>
      </c>
      <c r="D29" s="871"/>
      <c r="E29" s="474" t="s">
        <v>215</v>
      </c>
      <c r="F29" s="474" t="s">
        <v>287</v>
      </c>
      <c r="G29" s="474" t="s">
        <v>284</v>
      </c>
      <c r="H29" s="475" t="s">
        <v>42</v>
      </c>
      <c r="I29" s="69"/>
      <c r="J29" s="68"/>
      <c r="K29" s="68"/>
      <c r="L29" s="68"/>
      <c r="M29" s="68"/>
      <c r="N29" s="4"/>
    </row>
    <row r="30" spans="2:14" ht="22.5" customHeight="1" x14ac:dyDescent="0.25">
      <c r="B30" s="476" t="s">
        <v>283</v>
      </c>
      <c r="C30" s="477"/>
      <c r="D30" s="478">
        <f>'ES CT Electric 2021 Table A Pie'!D30+'[13]Budget Pies 2021'!$D$32</f>
        <v>26778667.567313872</v>
      </c>
      <c r="E30" s="479">
        <f>D30/D43</f>
        <v>0.13302094498211031</v>
      </c>
      <c r="F30" s="480">
        <f>D30/D37</f>
        <v>0.14591276026082112</v>
      </c>
      <c r="G30" s="479">
        <f>0.1298*0.8+0.1298*0.2</f>
        <v>0.1298</v>
      </c>
      <c r="H30" s="480">
        <f>F30-G30</f>
        <v>1.6112760260821118E-2</v>
      </c>
      <c r="I30" s="85"/>
      <c r="K30" s="4"/>
      <c r="L30" s="4"/>
      <c r="M30" s="4"/>
      <c r="N30" s="4"/>
    </row>
    <row r="31" spans="2:14" ht="24.75" customHeight="1" x14ac:dyDescent="0.25">
      <c r="B31" s="476" t="s">
        <v>288</v>
      </c>
      <c r="C31" s="477"/>
      <c r="D31" s="478">
        <f>'ES CT Electric 2021 Table A Pie'!D31+'[13]Budget Pies 2021'!$D$33</f>
        <v>71700039.236954004</v>
      </c>
      <c r="E31" s="479">
        <f>D31/D43</f>
        <v>0.35616435920791079</v>
      </c>
      <c r="F31" s="480">
        <f>D31/D37</f>
        <v>0.39068227011574791</v>
      </c>
      <c r="G31" s="479">
        <f>0.3047*0.8+0.2927*0.2</f>
        <v>0.30230000000000001</v>
      </c>
      <c r="H31" s="480">
        <f>F31-G31</f>
        <v>8.8382270115747896E-2</v>
      </c>
      <c r="I31" s="85"/>
      <c r="K31" s="4"/>
      <c r="L31" s="71"/>
      <c r="M31" s="71"/>
      <c r="N31" s="4"/>
    </row>
    <row r="32" spans="2:14" ht="21.75" customHeight="1" x14ac:dyDescent="0.25">
      <c r="B32" s="481" t="s">
        <v>48</v>
      </c>
      <c r="C32" s="482"/>
      <c r="D32" s="483">
        <f>' 2022 - 2024 Combined Table A1'!K52</f>
        <v>99953046.408000007</v>
      </c>
      <c r="E32" s="484">
        <f>SUM(E30:E31)</f>
        <v>0.4891853041900211</v>
      </c>
      <c r="F32" s="484">
        <f>SUM(F30:F31)</f>
        <v>0.53659503037656897</v>
      </c>
      <c r="G32" s="484">
        <f>SUM(G30:G31)</f>
        <v>0.43210000000000004</v>
      </c>
      <c r="H32" s="484">
        <f>SUM(H30:H31)</f>
        <v>0.10449503037656901</v>
      </c>
      <c r="K32" s="72"/>
      <c r="L32" s="72"/>
      <c r="M32" s="72"/>
      <c r="N32" s="4"/>
    </row>
    <row r="33" spans="2:14" ht="16.5" x14ac:dyDescent="0.25">
      <c r="B33" s="872"/>
      <c r="C33" s="873"/>
      <c r="D33" s="873"/>
      <c r="E33" s="873"/>
      <c r="F33" s="873"/>
      <c r="G33" s="873"/>
      <c r="H33" s="874"/>
      <c r="I33" s="217"/>
      <c r="K33" s="73"/>
      <c r="L33" s="73"/>
      <c r="M33" s="73"/>
      <c r="N33" s="4"/>
    </row>
    <row r="34" spans="2:14" ht="16.5" x14ac:dyDescent="0.25">
      <c r="B34" s="476" t="s">
        <v>108</v>
      </c>
      <c r="C34" s="477"/>
      <c r="D34" s="478">
        <f>'ES CT Electric 2021 Table A Pie'!D36+'[13]Budget Pies 2021'!$D$39</f>
        <v>83572147.135365412</v>
      </c>
      <c r="E34" s="479">
        <f>D34/D43</f>
        <v>0.41513813031158903</v>
      </c>
      <c r="F34" s="480">
        <f>D34/D37</f>
        <v>0.45537152432217998</v>
      </c>
      <c r="G34" s="480">
        <f>1-G32</f>
        <v>0.56789999999999996</v>
      </c>
      <c r="H34" s="480">
        <f>F34-G34</f>
        <v>-0.11252847567781998</v>
      </c>
      <c r="K34" s="72"/>
      <c r="L34" s="72"/>
      <c r="M34" s="72"/>
      <c r="N34" s="4"/>
    </row>
    <row r="35" spans="2:14" ht="16.5" x14ac:dyDescent="0.25">
      <c r="B35" s="481" t="s">
        <v>50</v>
      </c>
      <c r="C35" s="482"/>
      <c r="D35" s="483">
        <f>SUM(D33:D34)</f>
        <v>83572147.135365412</v>
      </c>
      <c r="E35" s="484">
        <f>SUM(E33:E34)</f>
        <v>0.41513813031158903</v>
      </c>
      <c r="F35" s="484">
        <f>SUM(F33:F34)</f>
        <v>0.45537152432217998</v>
      </c>
      <c r="G35" s="484">
        <f>SUM(G33:G34)</f>
        <v>0.56789999999999996</v>
      </c>
      <c r="H35" s="484">
        <f>SUM(H33:H34)</f>
        <v>-0.11252847567781998</v>
      </c>
      <c r="K35" s="72"/>
      <c r="L35" s="72"/>
      <c r="M35" s="72"/>
      <c r="N35" s="4"/>
    </row>
    <row r="36" spans="2:14" ht="16.5" x14ac:dyDescent="0.25">
      <c r="B36" s="865"/>
      <c r="C36" s="866"/>
      <c r="D36" s="866"/>
      <c r="E36" s="866"/>
      <c r="F36" s="866"/>
      <c r="G36" s="866"/>
      <c r="H36" s="867"/>
      <c r="J36" s="4"/>
      <c r="K36" s="4"/>
      <c r="L36" s="4"/>
      <c r="M36" s="4"/>
      <c r="N36" s="4"/>
    </row>
    <row r="37" spans="2:14" ht="16.5" x14ac:dyDescent="0.25">
      <c r="B37" s="481" t="s">
        <v>101</v>
      </c>
      <c r="C37" s="482"/>
      <c r="D37" s="483">
        <f>D32+D35</f>
        <v>183525193.54336542</v>
      </c>
      <c r="E37" s="484">
        <f>E32+E35</f>
        <v>0.90432343450161012</v>
      </c>
      <c r="F37" s="484">
        <f>F32+F35</f>
        <v>0.99196655469874895</v>
      </c>
      <c r="G37" s="484">
        <f>G32+G35</f>
        <v>1</v>
      </c>
      <c r="H37" s="484">
        <f>H32+H35</f>
        <v>-8.0334453012509688E-3</v>
      </c>
      <c r="J37" s="4"/>
    </row>
    <row r="38" spans="2:14" ht="16.5" x14ac:dyDescent="0.25">
      <c r="B38" s="872"/>
      <c r="C38" s="873"/>
      <c r="D38" s="873"/>
      <c r="E38" s="873"/>
      <c r="F38" s="873"/>
      <c r="G38" s="873"/>
      <c r="H38" s="874"/>
      <c r="J38" s="4"/>
    </row>
    <row r="39" spans="2:14" s="38" customFormat="1" ht="16.5" x14ac:dyDescent="0.25">
      <c r="B39" s="859" t="s">
        <v>51</v>
      </c>
      <c r="C39" s="860"/>
      <c r="D39" s="860"/>
      <c r="E39" s="860"/>
      <c r="F39" s="860"/>
      <c r="G39" s="860"/>
      <c r="H39" s="861"/>
    </row>
    <row r="40" spans="2:14" s="38" customFormat="1" ht="16.5" x14ac:dyDescent="0.25">
      <c r="B40" s="476" t="s">
        <v>51</v>
      </c>
      <c r="C40" s="477"/>
      <c r="D40" s="478">
        <f>'ES CT Electric 2021 Table A Pie'!D41+'[13]Budget Pies 2021'!$D$43</f>
        <v>17786468.848713346</v>
      </c>
      <c r="E40" s="479">
        <f>D40/D43</f>
        <v>8.8352898373428815E-2</v>
      </c>
      <c r="F40" s="485"/>
      <c r="G40" s="486"/>
      <c r="H40" s="486"/>
      <c r="K40" s="74"/>
    </row>
    <row r="41" spans="2:14" s="38" customFormat="1" ht="21.75" customHeight="1" x14ac:dyDescent="0.25">
      <c r="B41" s="487" t="s">
        <v>52</v>
      </c>
      <c r="C41" s="488"/>
      <c r="D41" s="483">
        <f>SUM(D40)</f>
        <v>17786468.848713346</v>
      </c>
      <c r="E41" s="484">
        <f>SUM(E40)</f>
        <v>8.8352898373428815E-2</v>
      </c>
      <c r="F41" s="489"/>
      <c r="G41" s="489"/>
      <c r="H41" s="489"/>
      <c r="J41" s="74"/>
    </row>
    <row r="42" spans="2:14" s="38" customFormat="1" ht="16.5" x14ac:dyDescent="0.25">
      <c r="B42" s="862"/>
      <c r="C42" s="863"/>
      <c r="D42" s="863"/>
      <c r="E42" s="863"/>
      <c r="F42" s="863"/>
      <c r="G42" s="863"/>
      <c r="H42" s="864"/>
    </row>
    <row r="43" spans="2:14" s="38" customFormat="1" ht="16.5" x14ac:dyDescent="0.25">
      <c r="B43" s="487" t="s">
        <v>211</v>
      </c>
      <c r="C43" s="488"/>
      <c r="D43" s="490">
        <f>D41+D37</f>
        <v>201311662.39207876</v>
      </c>
      <c r="E43" s="484">
        <f>E37+E41</f>
        <v>0.99267633287503898</v>
      </c>
      <c r="F43" s="491"/>
      <c r="G43" s="491"/>
      <c r="H43" s="491"/>
      <c r="J43" s="75"/>
      <c r="K43" s="75"/>
    </row>
    <row r="44" spans="2:14" s="38" customFormat="1" ht="21" customHeight="1" x14ac:dyDescent="0.25">
      <c r="B44" s="487" t="s">
        <v>169</v>
      </c>
      <c r="C44" s="488"/>
      <c r="D44" s="490">
        <f>' 2022 - 2024 Combined Table A1'!I56</f>
        <v>162871152.34999999</v>
      </c>
      <c r="E44" s="484">
        <f>D44/D43</f>
        <v>0.80904976102571136</v>
      </c>
      <c r="F44" s="491"/>
      <c r="G44" s="491"/>
      <c r="H44" s="491"/>
    </row>
    <row r="45" spans="2:14" s="41" customFormat="1" ht="25.5" customHeight="1" x14ac:dyDescent="0.25">
      <c r="B45" s="487" t="s">
        <v>107</v>
      </c>
      <c r="C45" s="492"/>
      <c r="D45" s="493">
        <f>' 2022 - 2024 Combined Table A1'!J56</f>
        <v>43046677.649999999</v>
      </c>
      <c r="E45" s="484">
        <f>D45/D43</f>
        <v>0.21383101772892521</v>
      </c>
      <c r="F45" s="491"/>
      <c r="G45" s="491"/>
      <c r="H45" s="491"/>
    </row>
    <row r="46" spans="2:14" s="41" customFormat="1" ht="18" x14ac:dyDescent="0.25">
      <c r="B46" s="281"/>
      <c r="C46" s="217"/>
      <c r="D46" s="217"/>
      <c r="E46" s="217"/>
      <c r="F46" s="217"/>
    </row>
    <row r="47" spans="2:14" s="41" customFormat="1" ht="16.5" x14ac:dyDescent="0.25">
      <c r="B47" s="494" t="s">
        <v>285</v>
      </c>
      <c r="C47" s="495"/>
      <c r="D47" s="496"/>
      <c r="E47" s="43"/>
      <c r="F47" s="43"/>
      <c r="G47" s="40"/>
      <c r="H47" s="44"/>
    </row>
    <row r="48" spans="2:14" s="41" customFormat="1" ht="16.5" x14ac:dyDescent="0.25">
      <c r="B48" s="497" t="s">
        <v>286</v>
      </c>
      <c r="C48" s="495"/>
      <c r="D48" s="496"/>
      <c r="E48" s="44"/>
      <c r="F48" s="44"/>
      <c r="G48" s="44"/>
      <c r="H48" s="44"/>
    </row>
    <row r="49" spans="2:8" s="41" customFormat="1" x14ac:dyDescent="0.2">
      <c r="B49" s="39"/>
      <c r="C49" s="39"/>
      <c r="D49" s="42"/>
      <c r="E49" s="38"/>
      <c r="F49" s="38"/>
      <c r="G49" s="38"/>
      <c r="H49" s="38"/>
    </row>
    <row r="50" spans="2:8" x14ac:dyDescent="0.2">
      <c r="B50" s="45"/>
      <c r="C50" s="45"/>
      <c r="D50" s="46"/>
      <c r="E50" s="13"/>
      <c r="F50" s="13"/>
      <c r="G50" s="13"/>
      <c r="H50" s="13"/>
    </row>
    <row r="51" spans="2:8" ht="20.25" x14ac:dyDescent="0.3">
      <c r="B51" s="13"/>
      <c r="C51" s="216"/>
      <c r="D51" s="47"/>
      <c r="E51" s="38" t="s">
        <v>13</v>
      </c>
      <c r="F51" s="13"/>
      <c r="G51" s="13"/>
      <c r="H51" s="13"/>
    </row>
  </sheetData>
  <mergeCells count="9">
    <mergeCell ref="B39:H39"/>
    <mergeCell ref="B42:H42"/>
    <mergeCell ref="B36:H36"/>
    <mergeCell ref="B2:J2"/>
    <mergeCell ref="B3:J3"/>
    <mergeCell ref="C29:D29"/>
    <mergeCell ref="B33:H33"/>
    <mergeCell ref="B38:H38"/>
    <mergeCell ref="B27:E27"/>
  </mergeCells>
  <pageMargins left="0.75" right="0.75" top="1" bottom="1" header="0.5" footer="0.5"/>
  <pageSetup scale="58"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4CFB-71EF-4F0F-A235-8AD9A474AAB2}">
  <sheetPr>
    <tabColor theme="9" tint="0.39997558519241921"/>
    <pageSetUpPr fitToPage="1"/>
  </sheetPr>
  <dimension ref="B2:N51"/>
  <sheetViews>
    <sheetView showGridLines="0" topLeftCell="A19" zoomScale="90" zoomScaleNormal="90" workbookViewId="0">
      <selection activeCell="E28" sqref="E28"/>
    </sheetView>
  </sheetViews>
  <sheetFormatPr defaultRowHeight="12.75" x14ac:dyDescent="0.2"/>
  <cols>
    <col min="2" max="2" width="39.28515625" customWidth="1"/>
    <col min="3" max="3" width="3.5703125" customWidth="1"/>
    <col min="4" max="4" width="18.7109375" bestFit="1" customWidth="1"/>
    <col min="5" max="5" width="13.28515625" customWidth="1"/>
    <col min="6" max="6" width="17.5703125" customWidth="1"/>
    <col min="7" max="7" width="18.7109375" customWidth="1"/>
    <col min="8" max="8" width="16.42578125" customWidth="1"/>
    <col min="9" max="9" width="20.5703125" bestFit="1" customWidth="1"/>
    <col min="10" max="10" width="12" customWidth="1"/>
    <col min="11" max="11" width="12.140625" customWidth="1"/>
    <col min="12" max="12" width="11.140625" customWidth="1"/>
    <col min="13" max="13" width="10" customWidth="1"/>
    <col min="14" max="14" width="11.5703125" customWidth="1"/>
  </cols>
  <sheetData>
    <row r="2" spans="2:10" ht="54" customHeight="1" x14ac:dyDescent="0.35">
      <c r="B2" s="868" t="s">
        <v>412</v>
      </c>
      <c r="C2" s="869"/>
      <c r="D2" s="869"/>
      <c r="E2" s="869"/>
      <c r="F2" s="869"/>
      <c r="G2" s="869"/>
      <c r="H2" s="869"/>
      <c r="I2" s="869"/>
      <c r="J2" s="869"/>
    </row>
    <row r="3" spans="2:10" ht="23.25" x14ac:dyDescent="0.35">
      <c r="B3" s="869" t="s">
        <v>146</v>
      </c>
      <c r="C3" s="869"/>
      <c r="D3" s="869"/>
      <c r="E3" s="869"/>
      <c r="F3" s="869"/>
      <c r="G3" s="869"/>
      <c r="H3" s="869"/>
      <c r="I3" s="869"/>
      <c r="J3" s="869"/>
    </row>
    <row r="24" spans="2:14" ht="13.5" customHeight="1" x14ac:dyDescent="0.2"/>
    <row r="25" spans="2:14" ht="13.5" customHeight="1" x14ac:dyDescent="0.2"/>
    <row r="26" spans="2:14" s="4" customFormat="1" ht="13.5" customHeight="1" x14ac:dyDescent="0.2"/>
    <row r="27" spans="2:14" s="4" customFormat="1" ht="13.5" customHeight="1" x14ac:dyDescent="0.2">
      <c r="B27" s="875"/>
      <c r="C27" s="876"/>
      <c r="D27" s="876"/>
      <c r="E27" s="876"/>
    </row>
    <row r="29" spans="2:14" ht="72.75" customHeight="1" x14ac:dyDescent="0.2">
      <c r="B29" s="473" t="s">
        <v>47</v>
      </c>
      <c r="C29" s="870" t="s">
        <v>481</v>
      </c>
      <c r="D29" s="871"/>
      <c r="E29" s="568" t="s">
        <v>215</v>
      </c>
      <c r="F29" s="568" t="s">
        <v>287</v>
      </c>
      <c r="G29" s="568" t="s">
        <v>284</v>
      </c>
      <c r="H29" s="475" t="s">
        <v>42</v>
      </c>
      <c r="I29" s="69"/>
      <c r="J29" s="68"/>
      <c r="K29" s="68"/>
      <c r="L29" s="68"/>
      <c r="M29" s="68"/>
      <c r="N29" s="4"/>
    </row>
    <row r="30" spans="2:14" ht="22.5" customHeight="1" x14ac:dyDescent="0.25">
      <c r="B30" s="476" t="s">
        <v>283</v>
      </c>
      <c r="C30" s="477"/>
      <c r="D30" s="478">
        <f>'ES CT Electric 2022 Table A Pie'!D30+'[14]Budget Pies 2022'!$C$32</f>
        <v>24668692.608087409</v>
      </c>
      <c r="E30" s="479">
        <f>D30/D43</f>
        <v>0.12343926406198431</v>
      </c>
      <c r="F30" s="480">
        <f>D30/D37</f>
        <v>0.13680607532771721</v>
      </c>
      <c r="G30" s="479">
        <f>0.125*0.8+0.1307*0.2</f>
        <v>0.12614</v>
      </c>
      <c r="H30" s="480">
        <f>F30-G30</f>
        <v>1.0666075327717212E-2</v>
      </c>
      <c r="I30" s="85"/>
      <c r="K30" s="4"/>
      <c r="L30" s="4"/>
      <c r="M30" s="4"/>
      <c r="N30" s="4"/>
    </row>
    <row r="31" spans="2:14" ht="24.75" customHeight="1" x14ac:dyDescent="0.25">
      <c r="B31" s="476" t="s">
        <v>288</v>
      </c>
      <c r="C31" s="477"/>
      <c r="D31" s="478">
        <f>'ES CT Electric 2022 Table A Pie'!D31+'[14]Budget Pies 2022'!$C$33</f>
        <v>60196771.02203919</v>
      </c>
      <c r="E31" s="479">
        <f>D31/D43</f>
        <v>0.30121762964577337</v>
      </c>
      <c r="F31" s="480">
        <f>D31/D37</f>
        <v>0.33383544567037876</v>
      </c>
      <c r="G31" s="479">
        <f>0.359*0.8+0.2892*0.2</f>
        <v>0.34504000000000001</v>
      </c>
      <c r="H31" s="480">
        <f>F31-G31</f>
        <v>-1.1204554329621252E-2</v>
      </c>
      <c r="I31" s="41" t="s">
        <v>488</v>
      </c>
      <c r="K31" s="4"/>
      <c r="L31" s="71"/>
      <c r="M31" s="71"/>
      <c r="N31" s="4"/>
    </row>
    <row r="32" spans="2:14" ht="21.75" customHeight="1" x14ac:dyDescent="0.25">
      <c r="B32" s="481" t="s">
        <v>48</v>
      </c>
      <c r="C32" s="482"/>
      <c r="D32" s="483">
        <f>SUM(D30:D31)</f>
        <v>84865463.630126595</v>
      </c>
      <c r="E32" s="484">
        <f>SUM(E30:E31)</f>
        <v>0.42465689370775767</v>
      </c>
      <c r="F32" s="484">
        <f>SUM(F30:F31)</f>
        <v>0.47064152099809597</v>
      </c>
      <c r="G32" s="484">
        <f>SUM(G30:G31)</f>
        <v>0.47118000000000004</v>
      </c>
      <c r="H32" s="484">
        <f>SUM(H30:H31)</f>
        <v>-5.3847900190404085E-4</v>
      </c>
      <c r="K32" s="72"/>
      <c r="L32" s="72"/>
      <c r="M32" s="72"/>
      <c r="N32" s="4"/>
    </row>
    <row r="33" spans="2:14" ht="16.5" x14ac:dyDescent="0.25">
      <c r="B33" s="872"/>
      <c r="C33" s="873"/>
      <c r="D33" s="873"/>
      <c r="E33" s="873"/>
      <c r="F33" s="873"/>
      <c r="G33" s="873"/>
      <c r="H33" s="874"/>
      <c r="I33" s="569"/>
      <c r="K33" s="73"/>
      <c r="L33" s="73"/>
      <c r="M33" s="73"/>
      <c r="N33" s="4"/>
    </row>
    <row r="34" spans="2:14" ht="16.5" x14ac:dyDescent="0.25">
      <c r="B34" s="476" t="s">
        <v>108</v>
      </c>
      <c r="C34" s="477"/>
      <c r="D34" s="478">
        <f>'ES CT Electric 2022 Table A Pie'!D36+'[14]Budget Pies 2022'!$C$39</f>
        <v>95453228.71591045</v>
      </c>
      <c r="E34" s="479">
        <f>D34/D43</f>
        <v>0.47763683678839991</v>
      </c>
      <c r="F34" s="480">
        <f>D34/D37</f>
        <v>0.52935847900190414</v>
      </c>
      <c r="G34" s="480">
        <f>1-G32</f>
        <v>0.52881999999999996</v>
      </c>
      <c r="H34" s="480">
        <f>F34-G34</f>
        <v>5.3847900190417963E-4</v>
      </c>
      <c r="K34" s="72"/>
      <c r="L34" s="72"/>
      <c r="M34" s="72"/>
      <c r="N34" s="4"/>
    </row>
    <row r="35" spans="2:14" ht="16.5" x14ac:dyDescent="0.25">
      <c r="B35" s="481" t="s">
        <v>50</v>
      </c>
      <c r="C35" s="482"/>
      <c r="D35" s="483">
        <f>SUM(D33:D34)</f>
        <v>95453228.71591045</v>
      </c>
      <c r="E35" s="484">
        <f>SUM(E33:E34)</f>
        <v>0.47763683678839991</v>
      </c>
      <c r="F35" s="484">
        <f>SUM(F33:F34)</f>
        <v>0.52935847900190414</v>
      </c>
      <c r="G35" s="484">
        <f>SUM(G33:G34)</f>
        <v>0.52881999999999996</v>
      </c>
      <c r="H35" s="484">
        <f>SUM(H33:H34)</f>
        <v>5.3847900190417963E-4</v>
      </c>
      <c r="K35" s="72"/>
      <c r="L35" s="72"/>
      <c r="M35" s="72"/>
      <c r="N35" s="4"/>
    </row>
    <row r="36" spans="2:14" ht="16.5" x14ac:dyDescent="0.25">
      <c r="B36" s="865"/>
      <c r="C36" s="866"/>
      <c r="D36" s="866"/>
      <c r="E36" s="866"/>
      <c r="F36" s="866"/>
      <c r="G36" s="866"/>
      <c r="H36" s="867"/>
      <c r="J36" s="4"/>
      <c r="K36" s="4"/>
      <c r="L36" s="4"/>
      <c r="M36" s="4"/>
      <c r="N36" s="4"/>
    </row>
    <row r="37" spans="2:14" ht="16.5" x14ac:dyDescent="0.25">
      <c r="B37" s="481" t="s">
        <v>101</v>
      </c>
      <c r="C37" s="482"/>
      <c r="D37" s="483">
        <f>D32+D35</f>
        <v>180318692.34603703</v>
      </c>
      <c r="E37" s="484">
        <f>E32+E35</f>
        <v>0.90229373049615758</v>
      </c>
      <c r="F37" s="484">
        <f>F32+F35</f>
        <v>1</v>
      </c>
      <c r="G37" s="484">
        <f>G32+G35</f>
        <v>1</v>
      </c>
      <c r="H37" s="484">
        <f>H32+H35</f>
        <v>1.3877787807814457E-16</v>
      </c>
      <c r="J37" s="4"/>
    </row>
    <row r="38" spans="2:14" ht="16.5" x14ac:dyDescent="0.25">
      <c r="B38" s="872"/>
      <c r="C38" s="873"/>
      <c r="D38" s="873"/>
      <c r="E38" s="873"/>
      <c r="F38" s="873"/>
      <c r="G38" s="873"/>
      <c r="H38" s="874"/>
      <c r="J38" s="4"/>
    </row>
    <row r="39" spans="2:14" s="38" customFormat="1" ht="16.5" x14ac:dyDescent="0.25">
      <c r="B39" s="859" t="s">
        <v>51</v>
      </c>
      <c r="C39" s="860"/>
      <c r="D39" s="860"/>
      <c r="E39" s="860"/>
      <c r="F39" s="860"/>
      <c r="G39" s="860"/>
      <c r="H39" s="861"/>
    </row>
    <row r="40" spans="2:14" s="38" customFormat="1" ht="16.5" x14ac:dyDescent="0.25">
      <c r="B40" s="476" t="s">
        <v>51</v>
      </c>
      <c r="C40" s="477"/>
      <c r="D40" s="478">
        <f>'ES CT Electric 2022 Table A Pie'!D41+'[14]Budget Pies 2022'!$C$43</f>
        <v>19526087.963898789</v>
      </c>
      <c r="E40" s="479">
        <f>D40/D43</f>
        <v>9.7706269503842522E-2</v>
      </c>
      <c r="F40" s="485"/>
      <c r="G40" s="486"/>
      <c r="H40" s="486"/>
      <c r="K40" s="74"/>
    </row>
    <row r="41" spans="2:14" s="38" customFormat="1" ht="21.75" customHeight="1" x14ac:dyDescent="0.25">
      <c r="B41" s="487" t="s">
        <v>52</v>
      </c>
      <c r="C41" s="488"/>
      <c r="D41" s="483">
        <f>SUM(D40)</f>
        <v>19526087.963898789</v>
      </c>
      <c r="E41" s="484">
        <f>SUM(E40)</f>
        <v>9.7706269503842522E-2</v>
      </c>
      <c r="F41" s="489"/>
      <c r="G41" s="489"/>
      <c r="H41" s="489"/>
      <c r="J41" s="74"/>
    </row>
    <row r="42" spans="2:14" s="38" customFormat="1" ht="16.5" x14ac:dyDescent="0.25">
      <c r="B42" s="862"/>
      <c r="C42" s="863"/>
      <c r="D42" s="863"/>
      <c r="E42" s="863"/>
      <c r="F42" s="863"/>
      <c r="G42" s="863"/>
      <c r="H42" s="864"/>
    </row>
    <row r="43" spans="2:14" s="38" customFormat="1" ht="16.5" x14ac:dyDescent="0.25">
      <c r="B43" s="487" t="s">
        <v>211</v>
      </c>
      <c r="C43" s="488"/>
      <c r="D43" s="490">
        <f>D41+D37</f>
        <v>199844780.30993581</v>
      </c>
      <c r="E43" s="484">
        <f>E37+E41</f>
        <v>1</v>
      </c>
      <c r="F43" s="491"/>
      <c r="G43" s="491"/>
      <c r="H43" s="491"/>
      <c r="J43" s="75"/>
      <c r="K43" s="75"/>
    </row>
    <row r="44" spans="2:14" s="38" customFormat="1" ht="21" customHeight="1" x14ac:dyDescent="0.25">
      <c r="B44" s="487" t="s">
        <v>169</v>
      </c>
      <c r="C44" s="488"/>
      <c r="D44" s="490">
        <f>' 2022 - 2024 Combined Table A1'!M56</f>
        <v>164930780.30907416</v>
      </c>
      <c r="E44" s="484">
        <f>D44/D43</f>
        <v>0.82529441125900749</v>
      </c>
      <c r="F44" s="491"/>
      <c r="G44" s="491"/>
      <c r="H44" s="491"/>
    </row>
    <row r="45" spans="2:14" s="41" customFormat="1" ht="25.5" customHeight="1" x14ac:dyDescent="0.25">
      <c r="B45" s="487" t="s">
        <v>107</v>
      </c>
      <c r="C45" s="492"/>
      <c r="D45" s="493">
        <f>' 2022 - 2024 Combined Table A1'!N56</f>
        <v>34914000.000861675</v>
      </c>
      <c r="E45" s="484">
        <f>D45/D43</f>
        <v>0.17470558874099268</v>
      </c>
      <c r="F45" s="491"/>
      <c r="G45" s="491"/>
      <c r="H45" s="491"/>
    </row>
    <row r="46" spans="2:14" s="41" customFormat="1" ht="18" x14ac:dyDescent="0.25">
      <c r="B46" s="281"/>
      <c r="C46" s="569"/>
      <c r="D46" s="569"/>
      <c r="E46" s="569"/>
      <c r="F46" s="569"/>
    </row>
    <row r="47" spans="2:14" s="41" customFormat="1" ht="16.5" x14ac:dyDescent="0.25">
      <c r="B47" s="494" t="s">
        <v>285</v>
      </c>
      <c r="C47" s="495"/>
      <c r="D47" s="496"/>
      <c r="E47" s="43"/>
      <c r="F47" s="43"/>
      <c r="G47" s="40"/>
      <c r="H47" s="44"/>
    </row>
    <row r="48" spans="2:14" s="41" customFormat="1" ht="16.5" x14ac:dyDescent="0.25">
      <c r="B48" s="497" t="s">
        <v>286</v>
      </c>
      <c r="C48" s="495"/>
      <c r="D48" s="496"/>
      <c r="E48" s="44"/>
      <c r="F48" s="44"/>
      <c r="G48" s="44"/>
      <c r="H48" s="44"/>
    </row>
    <row r="49" spans="2:8" s="41" customFormat="1" x14ac:dyDescent="0.2">
      <c r="B49" s="39"/>
      <c r="C49" s="39"/>
      <c r="D49" s="42"/>
      <c r="E49" s="38"/>
      <c r="F49" s="38"/>
      <c r="G49" s="38"/>
      <c r="H49" s="38"/>
    </row>
    <row r="50" spans="2:8" x14ac:dyDescent="0.2">
      <c r="B50" s="45"/>
      <c r="C50" s="45"/>
      <c r="D50" s="46"/>
      <c r="E50" s="13"/>
      <c r="F50" s="13"/>
      <c r="G50" s="13"/>
      <c r="H50" s="13"/>
    </row>
    <row r="51" spans="2:8" ht="20.25" x14ac:dyDescent="0.3">
      <c r="B51" s="13"/>
      <c r="C51" s="216"/>
      <c r="D51" s="576" t="s">
        <v>13</v>
      </c>
      <c r="E51" s="38" t="s">
        <v>13</v>
      </c>
      <c r="F51" s="13"/>
      <c r="G51" s="13"/>
      <c r="H51" s="13"/>
    </row>
  </sheetData>
  <mergeCells count="9">
    <mergeCell ref="B38:H38"/>
    <mergeCell ref="B39:H39"/>
    <mergeCell ref="B42:H42"/>
    <mergeCell ref="B2:J2"/>
    <mergeCell ref="B3:J3"/>
    <mergeCell ref="B27:E27"/>
    <mergeCell ref="C29:D29"/>
    <mergeCell ref="B33:H33"/>
    <mergeCell ref="B36:H36"/>
  </mergeCells>
  <pageMargins left="0.75" right="0.75" top="1" bottom="1" header="0.5" footer="0.5"/>
  <pageSetup scale="58"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82CD-EA90-4654-9DBF-518FFACE997B}">
  <sheetPr>
    <tabColor theme="9" tint="0.39997558519241921"/>
  </sheetPr>
  <dimension ref="B2:M55"/>
  <sheetViews>
    <sheetView topLeftCell="A7" workbookViewId="0">
      <selection activeCell="D30" sqref="D30"/>
    </sheetView>
  </sheetViews>
  <sheetFormatPr defaultColWidth="9.140625" defaultRowHeight="12.75" x14ac:dyDescent="0.2"/>
  <cols>
    <col min="1" max="1" width="9.140625" style="793"/>
    <col min="2" max="2" width="39.28515625" style="793" customWidth="1"/>
    <col min="3" max="3" width="3.5703125" style="793" customWidth="1"/>
    <col min="4" max="4" width="18.7109375" style="793" bestFit="1" customWidth="1"/>
    <col min="5" max="5" width="13.28515625" style="793" customWidth="1"/>
    <col min="6" max="6" width="17.5703125" style="793" customWidth="1"/>
    <col min="7" max="7" width="18.7109375" style="793" customWidth="1"/>
    <col min="8" max="8" width="16.42578125" style="793" customWidth="1"/>
    <col min="9" max="9" width="20.5703125" style="793" bestFit="1" customWidth="1"/>
    <col min="10" max="10" width="12" style="793" customWidth="1"/>
    <col min="11" max="11" width="17.85546875" style="793" customWidth="1"/>
    <col min="12" max="12" width="11.140625" style="793" customWidth="1"/>
    <col min="13" max="13" width="10" style="793" customWidth="1"/>
    <col min="14" max="14" width="11.5703125" style="793" customWidth="1"/>
    <col min="15" max="16384" width="9.140625" style="793"/>
  </cols>
  <sheetData>
    <row r="2" spans="2:10" ht="54" customHeight="1" x14ac:dyDescent="0.35">
      <c r="B2" s="886" t="s">
        <v>412</v>
      </c>
      <c r="C2" s="887"/>
      <c r="D2" s="887"/>
      <c r="E2" s="887"/>
      <c r="F2" s="887"/>
      <c r="G2" s="887"/>
      <c r="H2" s="887"/>
      <c r="I2" s="887"/>
      <c r="J2" s="887"/>
    </row>
    <row r="3" spans="2:10" ht="23.25" x14ac:dyDescent="0.35">
      <c r="B3" s="887" t="s">
        <v>146</v>
      </c>
      <c r="C3" s="887"/>
      <c r="D3" s="887"/>
      <c r="E3" s="887"/>
      <c r="F3" s="887"/>
      <c r="G3" s="887"/>
      <c r="H3" s="887"/>
      <c r="I3" s="887"/>
      <c r="J3" s="887"/>
    </row>
    <row r="24" spans="2:13" ht="13.5" customHeight="1" x14ac:dyDescent="0.2"/>
    <row r="25" spans="2:13" ht="13.5" customHeight="1" x14ac:dyDescent="0.2"/>
    <row r="26" spans="2:13" ht="13.5" customHeight="1" x14ac:dyDescent="0.2"/>
    <row r="27" spans="2:13" ht="13.5" customHeight="1" x14ac:dyDescent="0.2">
      <c r="B27" s="888"/>
      <c r="C27" s="889"/>
      <c r="D27" s="889"/>
      <c r="E27" s="889"/>
    </row>
    <row r="29" spans="2:13" ht="72.75" customHeight="1" x14ac:dyDescent="0.2">
      <c r="B29" s="794" t="s">
        <v>47</v>
      </c>
      <c r="C29" s="890" t="s">
        <v>481</v>
      </c>
      <c r="D29" s="891"/>
      <c r="E29" s="795" t="s">
        <v>215</v>
      </c>
      <c r="F29" s="795" t="s">
        <v>287</v>
      </c>
      <c r="G29" s="795" t="s">
        <v>284</v>
      </c>
      <c r="H29" s="796" t="s">
        <v>42</v>
      </c>
      <c r="I29" s="797"/>
      <c r="J29" s="798"/>
      <c r="K29" s="798"/>
      <c r="L29" s="798"/>
      <c r="M29" s="798"/>
    </row>
    <row r="30" spans="2:13" ht="22.5" customHeight="1" x14ac:dyDescent="0.25">
      <c r="B30" s="799" t="s">
        <v>283</v>
      </c>
      <c r="C30" s="800"/>
      <c r="D30" s="801">
        <f>'[16]ES CT Electric 2022 Table A Pie'!D30+'[14]Budget Pies 2022'!$C$32</f>
        <v>24668692.608087409</v>
      </c>
      <c r="E30" s="802">
        <f>D30/D47</f>
        <v>0.12343926406198431</v>
      </c>
      <c r="F30" s="802">
        <f>D30/D41</f>
        <v>0.13680607532771721</v>
      </c>
      <c r="G30" s="802">
        <f>0.125*0.8+0.1307*0.2</f>
        <v>0.12614</v>
      </c>
      <c r="H30" s="802">
        <f>F30-G30</f>
        <v>1.0666075327717212E-2</v>
      </c>
      <c r="I30" s="803"/>
    </row>
    <row r="31" spans="2:13" ht="24.75" customHeight="1" x14ac:dyDescent="0.25">
      <c r="B31" s="799" t="s">
        <v>288</v>
      </c>
      <c r="C31" s="800"/>
      <c r="D31" s="801">
        <f>'[16]ES CT Electric 2022 Table A Pie'!D31+'[14]Budget Pies 2022'!$C$33</f>
        <v>60196771.02203919</v>
      </c>
      <c r="E31" s="802">
        <f>D31/D47</f>
        <v>0.30121762964577337</v>
      </c>
      <c r="F31" s="802">
        <f>D31/D41</f>
        <v>0.33383544567037876</v>
      </c>
      <c r="G31" s="802">
        <v>0.34</v>
      </c>
      <c r="H31" s="802">
        <f>F31-G31</f>
        <v>-6.1645543296212635E-3</v>
      </c>
      <c r="I31" s="793" t="s">
        <v>13</v>
      </c>
      <c r="L31" s="804"/>
      <c r="M31" s="804"/>
    </row>
    <row r="32" spans="2:13" ht="21.75" customHeight="1" x14ac:dyDescent="0.25">
      <c r="B32" s="805" t="s">
        <v>48</v>
      </c>
      <c r="C32" s="806"/>
      <c r="D32" s="807">
        <f>SUM(D30:D31)</f>
        <v>84865463.630126595</v>
      </c>
      <c r="E32" s="808">
        <f>SUM(E30:E31)</f>
        <v>0.42465689370775767</v>
      </c>
      <c r="F32" s="808">
        <f>SUM(F30:F31)</f>
        <v>0.47064152099809597</v>
      </c>
      <c r="G32" s="808">
        <f>SUM(G30:G31)</f>
        <v>0.46614</v>
      </c>
      <c r="H32" s="808">
        <f>SUM(H30:H31)</f>
        <v>4.5015209980959481E-3</v>
      </c>
      <c r="K32" s="809"/>
      <c r="L32" s="809"/>
      <c r="M32" s="809"/>
    </row>
    <row r="33" spans="2:13" ht="18" x14ac:dyDescent="0.25">
      <c r="B33" s="877"/>
      <c r="C33" s="878"/>
      <c r="D33" s="878"/>
      <c r="E33" s="878"/>
      <c r="F33" s="878"/>
      <c r="G33" s="878"/>
      <c r="H33" s="879"/>
      <c r="K33" s="809"/>
      <c r="L33" s="809"/>
      <c r="M33" s="809"/>
    </row>
    <row r="34" spans="2:13" ht="18" x14ac:dyDescent="0.25">
      <c r="B34" s="799" t="s">
        <v>108</v>
      </c>
      <c r="C34" s="800"/>
      <c r="D34" s="801">
        <f>'[16]ES CT Electric 2022 Table A Pie'!D36+'[14]Budget Pies 2022'!$C$39</f>
        <v>95453228.71591045</v>
      </c>
      <c r="E34" s="802">
        <f>D34/D47</f>
        <v>0.47763683678839991</v>
      </c>
      <c r="F34" s="802">
        <f>D34/D41</f>
        <v>0.52935847900190414</v>
      </c>
      <c r="G34" s="802">
        <f>1-G32</f>
        <v>0.53386</v>
      </c>
      <c r="H34" s="802">
        <f>F34-G34</f>
        <v>-4.5015209980958648E-3</v>
      </c>
      <c r="K34" s="809"/>
      <c r="L34" s="809"/>
      <c r="M34" s="809"/>
    </row>
    <row r="35" spans="2:13" ht="18" x14ac:dyDescent="0.25">
      <c r="B35" s="799" t="s">
        <v>531</v>
      </c>
      <c r="C35" s="800"/>
      <c r="D35" s="801"/>
      <c r="E35" s="802"/>
      <c r="F35" s="802">
        <f>$F$34*25%</f>
        <v>0.13233961975047603</v>
      </c>
      <c r="G35" s="802">
        <f>$G$34*25%</f>
        <v>0.133465</v>
      </c>
      <c r="H35" s="802"/>
      <c r="K35" s="809"/>
      <c r="L35" s="809"/>
      <c r="M35" s="809"/>
    </row>
    <row r="36" spans="2:13" ht="18" x14ac:dyDescent="0.25">
      <c r="B36" s="799" t="s">
        <v>532</v>
      </c>
      <c r="C36" s="800"/>
      <c r="D36" s="801"/>
      <c r="E36" s="802"/>
      <c r="F36" s="802">
        <f>$F$34*25%</f>
        <v>0.13233961975047603</v>
      </c>
      <c r="G36" s="802">
        <f>$G$34*25%</f>
        <v>0.133465</v>
      </c>
      <c r="H36" s="802"/>
      <c r="K36" s="809"/>
      <c r="L36" s="809"/>
      <c r="M36" s="809"/>
    </row>
    <row r="37" spans="2:13" ht="18" x14ac:dyDescent="0.25">
      <c r="B37" s="799" t="s">
        <v>533</v>
      </c>
      <c r="C37" s="800"/>
      <c r="D37" s="801"/>
      <c r="E37" s="802"/>
      <c r="F37" s="802">
        <f>$F$34*25%</f>
        <v>0.13233961975047603</v>
      </c>
      <c r="G37" s="802">
        <f>$G$34*25%</f>
        <v>0.133465</v>
      </c>
      <c r="H37" s="802"/>
      <c r="K37" s="809"/>
      <c r="L37" s="809"/>
      <c r="M37" s="809"/>
    </row>
    <row r="38" spans="2:13" ht="18" x14ac:dyDescent="0.25">
      <c r="B38" s="799" t="s">
        <v>534</v>
      </c>
      <c r="C38" s="800"/>
      <c r="D38" s="801"/>
      <c r="E38" s="802"/>
      <c r="F38" s="802">
        <f>$F$34*25%</f>
        <v>0.13233961975047603</v>
      </c>
      <c r="G38" s="802">
        <f>$G$34*25%</f>
        <v>0.133465</v>
      </c>
      <c r="H38" s="802"/>
      <c r="K38" s="809"/>
      <c r="L38" s="809"/>
      <c r="M38" s="809"/>
    </row>
    <row r="39" spans="2:13" ht="18" x14ac:dyDescent="0.25">
      <c r="B39" s="805" t="s">
        <v>50</v>
      </c>
      <c r="C39" s="806"/>
      <c r="D39" s="807">
        <f>SUM(D33:D34)</f>
        <v>95453228.71591045</v>
      </c>
      <c r="E39" s="808">
        <f>SUM(E33:E34)</f>
        <v>0.47763683678839991</v>
      </c>
      <c r="F39" s="808">
        <f>SUM(F33:F34)</f>
        <v>0.52935847900190414</v>
      </c>
      <c r="G39" s="808">
        <f>SUM(G33:G34)</f>
        <v>0.53386</v>
      </c>
      <c r="H39" s="808">
        <f>SUM(H33:H34)</f>
        <v>-4.5015209980958648E-3</v>
      </c>
      <c r="K39" s="809"/>
      <c r="L39" s="809"/>
      <c r="M39" s="809"/>
    </row>
    <row r="40" spans="2:13" ht="18" x14ac:dyDescent="0.25">
      <c r="B40" s="892"/>
      <c r="C40" s="893"/>
      <c r="D40" s="893"/>
      <c r="E40" s="893"/>
      <c r="F40" s="893"/>
      <c r="G40" s="893"/>
      <c r="H40" s="894"/>
    </row>
    <row r="41" spans="2:13" ht="18" x14ac:dyDescent="0.25">
      <c r="B41" s="805" t="s">
        <v>101</v>
      </c>
      <c r="C41" s="806"/>
      <c r="D41" s="807">
        <f>D32+D39</f>
        <v>180318692.34603703</v>
      </c>
      <c r="E41" s="808">
        <f>E32+E39</f>
        <v>0.90229373049615758</v>
      </c>
      <c r="F41" s="808">
        <f>F32+F39</f>
        <v>1</v>
      </c>
      <c r="G41" s="808">
        <f>G32+G39</f>
        <v>1</v>
      </c>
      <c r="H41" s="808">
        <f>H32+H39</f>
        <v>8.3266726846886741E-17</v>
      </c>
    </row>
    <row r="42" spans="2:13" ht="18" x14ac:dyDescent="0.25">
      <c r="B42" s="877"/>
      <c r="C42" s="878"/>
      <c r="D42" s="878"/>
      <c r="E42" s="878"/>
      <c r="F42" s="878"/>
      <c r="G42" s="878"/>
      <c r="H42" s="879"/>
    </row>
    <row r="43" spans="2:13" ht="18.75" x14ac:dyDescent="0.3">
      <c r="B43" s="880" t="s">
        <v>51</v>
      </c>
      <c r="C43" s="881"/>
      <c r="D43" s="881"/>
      <c r="E43" s="881"/>
      <c r="F43" s="881"/>
      <c r="G43" s="881"/>
      <c r="H43" s="882"/>
    </row>
    <row r="44" spans="2:13" ht="18" x14ac:dyDescent="0.25">
      <c r="B44" s="799" t="s">
        <v>51</v>
      </c>
      <c r="C44" s="800"/>
      <c r="D44" s="801">
        <f>'[16]ES CT Electric 2022 Table A Pie'!D41+'[14]Budget Pies 2022'!$C$43</f>
        <v>19526087.963898789</v>
      </c>
      <c r="E44" s="802">
        <f>D44/D47</f>
        <v>9.7706269503842522E-2</v>
      </c>
      <c r="F44" s="810"/>
      <c r="G44" s="811"/>
      <c r="H44" s="811"/>
      <c r="K44" s="809"/>
    </row>
    <row r="45" spans="2:13" ht="21.75" customHeight="1" x14ac:dyDescent="0.25">
      <c r="B45" s="812" t="s">
        <v>52</v>
      </c>
      <c r="C45" s="813"/>
      <c r="D45" s="807">
        <f>SUM(D44)</f>
        <v>19526087.963898789</v>
      </c>
      <c r="E45" s="808">
        <f>SUM(E44)</f>
        <v>9.7706269503842522E-2</v>
      </c>
      <c r="F45" s="814"/>
      <c r="G45" s="814"/>
      <c r="H45" s="814"/>
      <c r="J45" s="809"/>
    </row>
    <row r="46" spans="2:13" ht="18" x14ac:dyDescent="0.25">
      <c r="B46" s="883"/>
      <c r="C46" s="884"/>
      <c r="D46" s="884"/>
      <c r="E46" s="884"/>
      <c r="F46" s="884"/>
      <c r="G46" s="884"/>
      <c r="H46" s="885"/>
    </row>
    <row r="47" spans="2:13" ht="18" x14ac:dyDescent="0.25">
      <c r="B47" s="812" t="s">
        <v>211</v>
      </c>
      <c r="C47" s="813"/>
      <c r="D47" s="815">
        <f>D45+D41</f>
        <v>199844780.30993581</v>
      </c>
      <c r="E47" s="808">
        <f>E41+E45</f>
        <v>1</v>
      </c>
      <c r="F47" s="816"/>
      <c r="G47" s="816"/>
      <c r="H47" s="816"/>
      <c r="J47" s="817"/>
      <c r="K47" s="817"/>
    </row>
    <row r="48" spans="2:13" ht="21" customHeight="1" x14ac:dyDescent="0.25">
      <c r="B48" s="812" t="s">
        <v>169</v>
      </c>
      <c r="C48" s="813"/>
      <c r="D48" s="815">
        <f>'[16] 2022 - 2024 Combined Table A1'!M56</f>
        <v>164930780.30907416</v>
      </c>
      <c r="E48" s="808">
        <f>D48/D47</f>
        <v>0.82529441125900749</v>
      </c>
      <c r="F48" s="816"/>
      <c r="G48" s="816"/>
      <c r="H48" s="816"/>
    </row>
    <row r="49" spans="2:8" ht="25.5" customHeight="1" x14ac:dyDescent="0.25">
      <c r="B49" s="812" t="s">
        <v>107</v>
      </c>
      <c r="C49" s="818"/>
      <c r="D49" s="819">
        <f>'[16] 2022 - 2024 Combined Table A1'!N56</f>
        <v>34914000.000861675</v>
      </c>
      <c r="E49" s="808">
        <f>D49/D47</f>
        <v>0.17470558874099268</v>
      </c>
      <c r="F49" s="816"/>
      <c r="G49" s="816"/>
      <c r="H49" s="816"/>
    </row>
    <row r="50" spans="2:8" ht="18" x14ac:dyDescent="0.25">
      <c r="B50" s="820"/>
    </row>
    <row r="51" spans="2:8" ht="16.5" x14ac:dyDescent="0.25">
      <c r="B51" s="821" t="s">
        <v>285</v>
      </c>
      <c r="C51" s="822"/>
      <c r="D51" s="823"/>
      <c r="E51" s="824"/>
      <c r="F51" s="824"/>
      <c r="G51" s="825"/>
      <c r="H51" s="826"/>
    </row>
    <row r="52" spans="2:8" ht="16.5" x14ac:dyDescent="0.25">
      <c r="B52" s="827" t="s">
        <v>286</v>
      </c>
      <c r="C52" s="822"/>
      <c r="D52" s="823"/>
      <c r="E52" s="826"/>
      <c r="F52" s="826"/>
      <c r="G52" s="826"/>
      <c r="H52" s="826"/>
    </row>
    <row r="53" spans="2:8" x14ac:dyDescent="0.2">
      <c r="B53" s="828"/>
      <c r="C53" s="828"/>
      <c r="D53" s="829"/>
    </row>
    <row r="54" spans="2:8" x14ac:dyDescent="0.2">
      <c r="B54" s="830"/>
      <c r="C54" s="830"/>
      <c r="D54" s="831"/>
    </row>
    <row r="55" spans="2:8" ht="20.25" x14ac:dyDescent="0.3">
      <c r="C55" s="832"/>
      <c r="D55" s="804" t="s">
        <v>13</v>
      </c>
      <c r="E55" s="793" t="s">
        <v>13</v>
      </c>
    </row>
  </sheetData>
  <mergeCells count="9">
    <mergeCell ref="B42:H42"/>
    <mergeCell ref="B43:H43"/>
    <mergeCell ref="B46:H46"/>
    <mergeCell ref="B2:J2"/>
    <mergeCell ref="B3:J3"/>
    <mergeCell ref="B27:E27"/>
    <mergeCell ref="C29:D29"/>
    <mergeCell ref="B33:H33"/>
    <mergeCell ref="B40:H40"/>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B001-C51B-4022-A945-D7AD47C2CDDE}">
  <sheetPr>
    <tabColor theme="9" tint="0.39997558519241921"/>
    <pageSetUpPr fitToPage="1"/>
  </sheetPr>
  <dimension ref="B2:N51"/>
  <sheetViews>
    <sheetView showGridLines="0" topLeftCell="A12" zoomScale="75" zoomScaleNormal="75" workbookViewId="0">
      <selection activeCell="D41" sqref="D41"/>
    </sheetView>
  </sheetViews>
  <sheetFormatPr defaultRowHeight="12.75" x14ac:dyDescent="0.2"/>
  <cols>
    <col min="2" max="2" width="39.28515625" customWidth="1"/>
    <col min="3" max="3" width="3.5703125" customWidth="1"/>
    <col min="4" max="4" width="18.7109375" bestFit="1" customWidth="1"/>
    <col min="5" max="5" width="13.28515625" customWidth="1"/>
    <col min="6" max="6" width="17.5703125" customWidth="1"/>
    <col min="7" max="7" width="18.7109375" customWidth="1"/>
    <col min="8" max="8" width="16.42578125" customWidth="1"/>
    <col min="9" max="9" width="20.5703125" bestFit="1" customWidth="1"/>
    <col min="10" max="10" width="12" customWidth="1"/>
    <col min="11" max="11" width="12.140625" customWidth="1"/>
    <col min="12" max="12" width="11.140625" customWidth="1"/>
    <col min="13" max="13" width="10" customWidth="1"/>
    <col min="14" max="14" width="11.5703125" customWidth="1"/>
  </cols>
  <sheetData>
    <row r="2" spans="2:10" ht="54" customHeight="1" x14ac:dyDescent="0.35">
      <c r="B2" s="868" t="s">
        <v>413</v>
      </c>
      <c r="C2" s="869"/>
      <c r="D2" s="869"/>
      <c r="E2" s="869"/>
      <c r="F2" s="869"/>
      <c r="G2" s="869"/>
      <c r="H2" s="869"/>
      <c r="I2" s="869"/>
      <c r="J2" s="869"/>
    </row>
    <row r="3" spans="2:10" ht="23.25" x14ac:dyDescent="0.35">
      <c r="B3" s="869" t="s">
        <v>146</v>
      </c>
      <c r="C3" s="869"/>
      <c r="D3" s="869"/>
      <c r="E3" s="869"/>
      <c r="F3" s="869"/>
      <c r="G3" s="869"/>
      <c r="H3" s="869"/>
      <c r="I3" s="869"/>
      <c r="J3" s="869"/>
    </row>
    <row r="24" spans="2:14" ht="13.5" customHeight="1" x14ac:dyDescent="0.2"/>
    <row r="25" spans="2:14" ht="13.5" customHeight="1" x14ac:dyDescent="0.2"/>
    <row r="26" spans="2:14" s="4" customFormat="1" ht="13.5" customHeight="1" x14ac:dyDescent="0.2"/>
    <row r="27" spans="2:14" s="4" customFormat="1" ht="13.5" customHeight="1" x14ac:dyDescent="0.2">
      <c r="B27" s="875"/>
      <c r="C27" s="876"/>
      <c r="D27" s="876"/>
      <c r="E27" s="876"/>
    </row>
    <row r="29" spans="2:14" ht="72.75" customHeight="1" x14ac:dyDescent="0.2">
      <c r="B29" s="473" t="s">
        <v>47</v>
      </c>
      <c r="C29" s="870" t="s">
        <v>481</v>
      </c>
      <c r="D29" s="871"/>
      <c r="E29" s="568" t="s">
        <v>215</v>
      </c>
      <c r="F29" s="568" t="s">
        <v>287</v>
      </c>
      <c r="G29" s="568" t="s">
        <v>284</v>
      </c>
      <c r="H29" s="475" t="s">
        <v>42</v>
      </c>
      <c r="I29" s="69"/>
      <c r="J29" s="68"/>
      <c r="K29" s="68"/>
      <c r="L29" s="68"/>
      <c r="M29" s="68"/>
      <c r="N29" s="4"/>
    </row>
    <row r="30" spans="2:14" ht="22.5" customHeight="1" x14ac:dyDescent="0.25">
      <c r="B30" s="476" t="s">
        <v>283</v>
      </c>
      <c r="C30" s="477"/>
      <c r="D30" s="478">
        <f>'ES CT Electric 2023 Table A Pie'!D30+'[15]Budget Pies 2023'!$C$32</f>
        <v>22317271.783693742</v>
      </c>
      <c r="E30" s="479">
        <f>D30/D43</f>
        <v>0.12468290616646074</v>
      </c>
      <c r="F30" s="480">
        <f>D30/D37</f>
        <v>0.13863543228118819</v>
      </c>
      <c r="G30" s="479">
        <f>0.125*0.8+0.1307*0.2</f>
        <v>0.12614</v>
      </c>
      <c r="H30" s="480">
        <f>F30-G30</f>
        <v>1.2495432281188185E-2</v>
      </c>
      <c r="I30" s="85"/>
      <c r="K30" s="4"/>
      <c r="L30" s="4"/>
      <c r="M30" s="4"/>
      <c r="N30" s="4"/>
    </row>
    <row r="31" spans="2:14" ht="24.75" customHeight="1" x14ac:dyDescent="0.25">
      <c r="B31" s="476" t="s">
        <v>288</v>
      </c>
      <c r="C31" s="477"/>
      <c r="D31" s="478">
        <f>'ES CT Electric 2023 Table A Pie'!D31+'[15]Budget Pies 2023'!$C$33</f>
        <v>56064870.081694096</v>
      </c>
      <c r="E31" s="479">
        <f>D31/D43</f>
        <v>0.31322515598605594</v>
      </c>
      <c r="F31" s="480">
        <f>D31/D37</f>
        <v>0.34827632942317793</v>
      </c>
      <c r="G31" s="479">
        <f>0.3704*0.8+0.2892*0.2</f>
        <v>0.35416000000000003</v>
      </c>
      <c r="H31" s="480">
        <f>F31-G31</f>
        <v>-5.8836705768220976E-3</v>
      </c>
      <c r="I31" s="699" t="s">
        <v>489</v>
      </c>
      <c r="K31" s="4"/>
      <c r="L31" s="71"/>
      <c r="M31" s="71"/>
      <c r="N31" s="4"/>
    </row>
    <row r="32" spans="2:14" ht="21.75" customHeight="1" x14ac:dyDescent="0.25">
      <c r="B32" s="481" t="s">
        <v>48</v>
      </c>
      <c r="C32" s="482"/>
      <c r="D32" s="483">
        <f>SUM(D30:D31)</f>
        <v>78382141.865387842</v>
      </c>
      <c r="E32" s="484">
        <f>SUM(E30:E31)</f>
        <v>0.43790806215251665</v>
      </c>
      <c r="F32" s="484">
        <f>SUM(F30:F31)</f>
        <v>0.48691176170436612</v>
      </c>
      <c r="G32" s="484">
        <f>SUM(G30:G31)</f>
        <v>0.48030000000000006</v>
      </c>
      <c r="H32" s="484">
        <f>SUM(H30:H31)</f>
        <v>6.611761704366087E-3</v>
      </c>
      <c r="K32" s="72"/>
      <c r="L32" s="72"/>
      <c r="M32" s="72"/>
      <c r="N32" s="4"/>
    </row>
    <row r="33" spans="2:14" ht="16.5" x14ac:dyDescent="0.25">
      <c r="B33" s="872"/>
      <c r="C33" s="873"/>
      <c r="D33" s="873"/>
      <c r="E33" s="873"/>
      <c r="F33" s="873"/>
      <c r="G33" s="873"/>
      <c r="H33" s="874"/>
      <c r="I33" s="569"/>
      <c r="K33" s="73"/>
      <c r="L33" s="73"/>
      <c r="M33" s="73"/>
      <c r="N33" s="4"/>
    </row>
    <row r="34" spans="2:14" ht="16.5" x14ac:dyDescent="0.25">
      <c r="B34" s="476" t="s">
        <v>108</v>
      </c>
      <c r="C34" s="477"/>
      <c r="D34" s="478">
        <f>'ES CT Electric 2023 Table A Pie'!D36+'[15]Budget Pies 2023'!$C$39</f>
        <v>82595981.955285892</v>
      </c>
      <c r="E34" s="479">
        <f>D34/D43</f>
        <v>0.46145008976330698</v>
      </c>
      <c r="F34" s="480">
        <f>D34/D37</f>
        <v>0.51308823829563377</v>
      </c>
      <c r="G34" s="480">
        <f>1-G32</f>
        <v>0.51969999999999994</v>
      </c>
      <c r="H34" s="480">
        <f>F34-G34</f>
        <v>-6.6117617043661703E-3</v>
      </c>
      <c r="K34" s="72"/>
      <c r="L34" s="72"/>
      <c r="M34" s="72"/>
      <c r="N34" s="4"/>
    </row>
    <row r="35" spans="2:14" ht="16.5" x14ac:dyDescent="0.25">
      <c r="B35" s="481" t="s">
        <v>50</v>
      </c>
      <c r="C35" s="482"/>
      <c r="D35" s="483">
        <f>SUM(D33:D34)</f>
        <v>82595981.955285892</v>
      </c>
      <c r="E35" s="484">
        <f>SUM(E33:E34)</f>
        <v>0.46145008976330698</v>
      </c>
      <c r="F35" s="484">
        <f>SUM(F33:F34)</f>
        <v>0.51308823829563377</v>
      </c>
      <c r="G35" s="484">
        <f>SUM(G33:G34)</f>
        <v>0.51969999999999994</v>
      </c>
      <c r="H35" s="484">
        <f>SUM(H33:H34)</f>
        <v>-6.6117617043661703E-3</v>
      </c>
      <c r="K35" s="72"/>
      <c r="L35" s="72"/>
      <c r="M35" s="72"/>
      <c r="N35" s="4"/>
    </row>
    <row r="36" spans="2:14" ht="16.5" x14ac:dyDescent="0.25">
      <c r="B36" s="865"/>
      <c r="C36" s="866"/>
      <c r="D36" s="866"/>
      <c r="E36" s="866"/>
      <c r="F36" s="866"/>
      <c r="G36" s="866"/>
      <c r="H36" s="867"/>
      <c r="J36" s="4"/>
      <c r="K36" s="4"/>
      <c r="L36" s="4"/>
      <c r="M36" s="4"/>
      <c r="N36" s="4"/>
    </row>
    <row r="37" spans="2:14" ht="16.5" x14ac:dyDescent="0.25">
      <c r="B37" s="481" t="s">
        <v>101</v>
      </c>
      <c r="C37" s="482"/>
      <c r="D37" s="483">
        <f>D32+D35</f>
        <v>160978123.82067373</v>
      </c>
      <c r="E37" s="484">
        <f>E32+E35</f>
        <v>0.89935815191582358</v>
      </c>
      <c r="F37" s="484">
        <f>F32+F35</f>
        <v>0.99999999999999989</v>
      </c>
      <c r="G37" s="484">
        <f>G32+G35</f>
        <v>1</v>
      </c>
      <c r="H37" s="484">
        <f>H32+H35</f>
        <v>-8.3266726846886741E-17</v>
      </c>
      <c r="J37" s="4"/>
    </row>
    <row r="38" spans="2:14" ht="16.5" x14ac:dyDescent="0.25">
      <c r="B38" s="872"/>
      <c r="C38" s="873"/>
      <c r="D38" s="873"/>
      <c r="E38" s="873"/>
      <c r="F38" s="873"/>
      <c r="G38" s="873"/>
      <c r="H38" s="874"/>
      <c r="J38" s="4"/>
    </row>
    <row r="39" spans="2:14" s="38" customFormat="1" ht="16.5" x14ac:dyDescent="0.25">
      <c r="B39" s="859" t="s">
        <v>51</v>
      </c>
      <c r="C39" s="860"/>
      <c r="D39" s="860"/>
      <c r="E39" s="860"/>
      <c r="F39" s="860"/>
      <c r="G39" s="860"/>
      <c r="H39" s="861"/>
    </row>
    <row r="40" spans="2:14" s="38" customFormat="1" ht="16.5" x14ac:dyDescent="0.25">
      <c r="B40" s="476" t="s">
        <v>51</v>
      </c>
      <c r="C40" s="477"/>
      <c r="D40" s="478">
        <f>'ES CT Electric 2023 Table A Pie'!D41+'[15]Budget Pies 2023'!$C$43</f>
        <v>18014109.115399811</v>
      </c>
      <c r="E40" s="479">
        <f>D40/D43</f>
        <v>0.1006418480841763</v>
      </c>
      <c r="F40" s="485"/>
      <c r="G40" s="486"/>
      <c r="H40" s="486"/>
      <c r="K40" s="74"/>
    </row>
    <row r="41" spans="2:14" s="38" customFormat="1" ht="21.75" customHeight="1" x14ac:dyDescent="0.25">
      <c r="B41" s="487" t="s">
        <v>52</v>
      </c>
      <c r="C41" s="488"/>
      <c r="D41" s="483">
        <f>SUM(D40)</f>
        <v>18014109.115399811</v>
      </c>
      <c r="E41" s="484">
        <f>SUM(E40)</f>
        <v>0.1006418480841763</v>
      </c>
      <c r="F41" s="489"/>
      <c r="G41" s="489"/>
      <c r="H41" s="489"/>
      <c r="J41" s="74"/>
    </row>
    <row r="42" spans="2:14" s="38" customFormat="1" ht="16.5" x14ac:dyDescent="0.25">
      <c r="B42" s="862"/>
      <c r="C42" s="863"/>
      <c r="D42" s="863"/>
      <c r="E42" s="863"/>
      <c r="F42" s="863"/>
      <c r="G42" s="863"/>
      <c r="H42" s="864"/>
    </row>
    <row r="43" spans="2:14" s="38" customFormat="1" ht="16.5" x14ac:dyDescent="0.25">
      <c r="B43" s="487" t="s">
        <v>211</v>
      </c>
      <c r="C43" s="488"/>
      <c r="D43" s="490">
        <f>D41+D37</f>
        <v>178992232.93607354</v>
      </c>
      <c r="E43" s="484">
        <f>E37+E41</f>
        <v>0.99999999999999989</v>
      </c>
      <c r="F43" s="491"/>
      <c r="G43" s="491"/>
      <c r="H43" s="491"/>
      <c r="J43" s="75"/>
      <c r="K43" s="75"/>
    </row>
    <row r="44" spans="2:14" s="38" customFormat="1" ht="21" customHeight="1" x14ac:dyDescent="0.25">
      <c r="B44" s="487" t="s">
        <v>169</v>
      </c>
      <c r="C44" s="488"/>
      <c r="D44" s="490">
        <f>' 2022 - 2024 Combined Table A1'!Q56</f>
        <v>144692565.38669917</v>
      </c>
      <c r="E44" s="484">
        <f>D44/D43</f>
        <v>0.80837343058553623</v>
      </c>
      <c r="F44" s="491"/>
      <c r="G44" s="491"/>
      <c r="H44" s="491"/>
    </row>
    <row r="45" spans="2:14" s="41" customFormat="1" ht="25.5" customHeight="1" x14ac:dyDescent="0.25">
      <c r="B45" s="487" t="s">
        <v>107</v>
      </c>
      <c r="C45" s="492"/>
      <c r="D45" s="493">
        <f>' 2022 - 2024 Combined Table A1'!R56</f>
        <v>34299667.549374372</v>
      </c>
      <c r="E45" s="484">
        <f>D45/D43</f>
        <v>0.19162656941446382</v>
      </c>
      <c r="F45" s="491"/>
      <c r="G45" s="491"/>
      <c r="H45" s="491"/>
    </row>
    <row r="46" spans="2:14" s="41" customFormat="1" ht="18" x14ac:dyDescent="0.25">
      <c r="B46" s="281"/>
      <c r="C46" s="569"/>
      <c r="D46" s="569"/>
      <c r="E46" s="569"/>
      <c r="F46" s="569"/>
    </row>
    <row r="47" spans="2:14" s="41" customFormat="1" ht="16.5" x14ac:dyDescent="0.25">
      <c r="B47" s="494" t="s">
        <v>285</v>
      </c>
      <c r="C47" s="495"/>
      <c r="D47" s="496"/>
      <c r="E47" s="43"/>
      <c r="F47" s="43"/>
      <c r="G47" s="40"/>
      <c r="H47" s="44"/>
    </row>
    <row r="48" spans="2:14" s="41" customFormat="1" ht="16.5" x14ac:dyDescent="0.25">
      <c r="B48" s="497" t="s">
        <v>286</v>
      </c>
      <c r="C48" s="495"/>
      <c r="D48" s="496"/>
      <c r="E48" s="44"/>
      <c r="F48" s="44"/>
      <c r="G48" s="44"/>
      <c r="H48" s="44"/>
    </row>
    <row r="49" spans="2:8" s="41" customFormat="1" x14ac:dyDescent="0.2">
      <c r="B49" s="39"/>
      <c r="C49" s="39"/>
      <c r="D49" s="42"/>
      <c r="E49" s="38"/>
      <c r="F49" s="38"/>
      <c r="G49" s="38"/>
      <c r="H49" s="38"/>
    </row>
    <row r="50" spans="2:8" x14ac:dyDescent="0.2">
      <c r="B50" s="45"/>
      <c r="C50" s="45"/>
      <c r="D50" s="46"/>
      <c r="E50" s="13"/>
      <c r="F50" s="13"/>
      <c r="G50" s="13"/>
      <c r="H50" s="13"/>
    </row>
    <row r="51" spans="2:8" ht="20.25" x14ac:dyDescent="0.3">
      <c r="B51" s="13"/>
      <c r="C51" s="216"/>
      <c r="D51" s="576" t="s">
        <v>13</v>
      </c>
      <c r="E51" s="38" t="s">
        <v>13</v>
      </c>
      <c r="F51" s="13"/>
      <c r="G51" s="13"/>
      <c r="H51" s="13"/>
    </row>
  </sheetData>
  <mergeCells count="9">
    <mergeCell ref="B38:H38"/>
    <mergeCell ref="B39:H39"/>
    <mergeCell ref="B42:H42"/>
    <mergeCell ref="B2:J2"/>
    <mergeCell ref="B3:J3"/>
    <mergeCell ref="B27:E27"/>
    <mergeCell ref="C29:D29"/>
    <mergeCell ref="B33:H33"/>
    <mergeCell ref="B36:H36"/>
  </mergeCells>
  <pageMargins left="0.75" right="0.75" top="1" bottom="1" header="0.5" footer="0.5"/>
  <pageSetup scale="58"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3939-AFF6-40C0-A3B1-D64E965A6FCF}">
  <sheetPr>
    <tabColor theme="9" tint="0.39997558519241921"/>
  </sheetPr>
  <dimension ref="B2:M55"/>
  <sheetViews>
    <sheetView topLeftCell="A27" zoomScale="90" zoomScaleNormal="90" workbookViewId="0">
      <selection activeCell="D52" sqref="D52"/>
    </sheetView>
  </sheetViews>
  <sheetFormatPr defaultColWidth="9.140625" defaultRowHeight="12.75" x14ac:dyDescent="0.2"/>
  <cols>
    <col min="1" max="1" width="9.140625" style="793"/>
    <col min="2" max="2" width="39.28515625" style="793" customWidth="1"/>
    <col min="3" max="3" width="3.5703125" style="793" customWidth="1"/>
    <col min="4" max="4" width="18.7109375" style="793" bestFit="1" customWidth="1"/>
    <col min="5" max="5" width="13.28515625" style="793" customWidth="1"/>
    <col min="6" max="6" width="17.5703125" style="793" customWidth="1"/>
    <col min="7" max="7" width="18.7109375" style="793" customWidth="1"/>
    <col min="8" max="8" width="16.42578125" style="793" customWidth="1"/>
    <col min="9" max="9" width="20.5703125" style="793" bestFit="1" customWidth="1"/>
    <col min="10" max="10" width="12" style="793" customWidth="1"/>
    <col min="11" max="11" width="17.42578125" style="793" customWidth="1"/>
    <col min="12" max="12" width="11.140625" style="793" customWidth="1"/>
    <col min="13" max="13" width="10" style="793" customWidth="1"/>
    <col min="14" max="14" width="11.5703125" style="793" customWidth="1"/>
    <col min="15" max="16384" width="9.140625" style="793"/>
  </cols>
  <sheetData>
    <row r="2" spans="2:10" ht="54" customHeight="1" x14ac:dyDescent="0.35">
      <c r="B2" s="886" t="s">
        <v>413</v>
      </c>
      <c r="C2" s="887"/>
      <c r="D2" s="887"/>
      <c r="E2" s="887"/>
      <c r="F2" s="887"/>
      <c r="G2" s="887"/>
      <c r="H2" s="887"/>
      <c r="I2" s="887"/>
      <c r="J2" s="887"/>
    </row>
    <row r="3" spans="2:10" ht="23.25" x14ac:dyDescent="0.35">
      <c r="B3" s="887" t="s">
        <v>146</v>
      </c>
      <c r="C3" s="887"/>
      <c r="D3" s="887"/>
      <c r="E3" s="887"/>
      <c r="F3" s="887"/>
      <c r="G3" s="887"/>
      <c r="H3" s="887"/>
      <c r="I3" s="887"/>
      <c r="J3" s="887"/>
    </row>
    <row r="24" spans="2:13" ht="13.5" customHeight="1" x14ac:dyDescent="0.2"/>
    <row r="25" spans="2:13" ht="13.5" customHeight="1" x14ac:dyDescent="0.2"/>
    <row r="26" spans="2:13" ht="13.5" customHeight="1" x14ac:dyDescent="0.2"/>
    <row r="27" spans="2:13" ht="13.5" customHeight="1" x14ac:dyDescent="0.2">
      <c r="B27" s="888"/>
      <c r="C27" s="889"/>
      <c r="D27" s="889"/>
      <c r="E27" s="889"/>
    </row>
    <row r="29" spans="2:13" ht="72.75" customHeight="1" x14ac:dyDescent="0.2">
      <c r="B29" s="833" t="s">
        <v>47</v>
      </c>
      <c r="C29" s="904" t="s">
        <v>481</v>
      </c>
      <c r="D29" s="905"/>
      <c r="E29" s="834" t="s">
        <v>215</v>
      </c>
      <c r="F29" s="834" t="s">
        <v>287</v>
      </c>
      <c r="G29" s="834" t="s">
        <v>284</v>
      </c>
      <c r="H29" s="835" t="s">
        <v>42</v>
      </c>
      <c r="I29" s="797"/>
      <c r="J29" s="798"/>
      <c r="K29" s="798"/>
      <c r="L29" s="798"/>
      <c r="M29" s="798"/>
    </row>
    <row r="30" spans="2:13" ht="22.5" customHeight="1" x14ac:dyDescent="0.25">
      <c r="B30" s="836" t="s">
        <v>283</v>
      </c>
      <c r="C30" s="837"/>
      <c r="D30" s="838">
        <f>'2023 Joint Table A1 Pies'!D30</f>
        <v>22317271.783693742</v>
      </c>
      <c r="E30" s="839">
        <f>D30/D47</f>
        <v>0.12468290616646074</v>
      </c>
      <c r="F30" s="839">
        <f>D30/D41</f>
        <v>0.13863543228118819</v>
      </c>
      <c r="G30" s="839">
        <f>0.125*0.8+0.1307*0.2</f>
        <v>0.12614</v>
      </c>
      <c r="H30" s="839">
        <f>F30-G30</f>
        <v>1.2495432281188185E-2</v>
      </c>
      <c r="I30" s="803"/>
    </row>
    <row r="31" spans="2:13" ht="24.75" customHeight="1" x14ac:dyDescent="0.25">
      <c r="B31" s="836" t="s">
        <v>288</v>
      </c>
      <c r="C31" s="837"/>
      <c r="D31" s="838">
        <f>'2023 Joint Table A1 Pies'!D31</f>
        <v>56064870.081694096</v>
      </c>
      <c r="E31" s="839">
        <f>D31/D47</f>
        <v>0.31322515598605594</v>
      </c>
      <c r="F31" s="839">
        <f>D31/D41</f>
        <v>0.34827632942317793</v>
      </c>
      <c r="G31" s="839">
        <f>0.3704*0.8+0.2892*0.2</f>
        <v>0.35416000000000003</v>
      </c>
      <c r="H31" s="839">
        <f>F31-G31</f>
        <v>-5.8836705768220976E-3</v>
      </c>
      <c r="I31" s="803" t="s">
        <v>13</v>
      </c>
      <c r="L31" s="804"/>
      <c r="M31" s="804"/>
    </row>
    <row r="32" spans="2:13" ht="21.75" customHeight="1" x14ac:dyDescent="0.25">
      <c r="B32" s="840" t="s">
        <v>48</v>
      </c>
      <c r="C32" s="841"/>
      <c r="D32" s="842">
        <f>SUM(D30:D31)</f>
        <v>78382141.865387842</v>
      </c>
      <c r="E32" s="843">
        <f>SUM(E30:E31)</f>
        <v>0.43790806215251665</v>
      </c>
      <c r="F32" s="843">
        <f>SUM(F30:F31)</f>
        <v>0.48691176170436612</v>
      </c>
      <c r="G32" s="843">
        <f>SUM(G30:G31)</f>
        <v>0.48030000000000006</v>
      </c>
      <c r="H32" s="843">
        <f>SUM(H30:H31)</f>
        <v>6.611761704366087E-3</v>
      </c>
      <c r="K32" s="809"/>
      <c r="L32" s="809"/>
      <c r="M32" s="809"/>
    </row>
    <row r="33" spans="2:13" ht="16.5" x14ac:dyDescent="0.25">
      <c r="B33" s="895"/>
      <c r="C33" s="896"/>
      <c r="D33" s="896"/>
      <c r="E33" s="896"/>
      <c r="F33" s="896"/>
      <c r="G33" s="896"/>
      <c r="H33" s="897"/>
      <c r="K33" s="809"/>
      <c r="L33" s="809"/>
      <c r="M33" s="809"/>
    </row>
    <row r="34" spans="2:13" ht="16.5" x14ac:dyDescent="0.25">
      <c r="B34" s="836" t="s">
        <v>108</v>
      </c>
      <c r="C34" s="837"/>
      <c r="D34" s="838">
        <f>'2023 Joint Table A1 Pies'!D34</f>
        <v>82595981.955285892</v>
      </c>
      <c r="E34" s="839">
        <f>D34/D47</f>
        <v>0.46145008976330698</v>
      </c>
      <c r="F34" s="839">
        <f>D34/D41</f>
        <v>0.51308823829563377</v>
      </c>
      <c r="G34" s="839">
        <f>1-G32</f>
        <v>0.51969999999999994</v>
      </c>
      <c r="H34" s="839">
        <f>F34-G34</f>
        <v>-6.6117617043661703E-3</v>
      </c>
      <c r="K34" s="809"/>
      <c r="L34" s="809"/>
      <c r="M34" s="809"/>
    </row>
    <row r="35" spans="2:13" ht="16.5" x14ac:dyDescent="0.25">
      <c r="B35" s="836" t="s">
        <v>531</v>
      </c>
      <c r="C35" s="837"/>
      <c r="D35" s="838"/>
      <c r="E35" s="839"/>
      <c r="F35" s="839">
        <f>$F$34*25%</f>
        <v>0.12827205957390844</v>
      </c>
      <c r="G35" s="839">
        <f>$G$34*25%</f>
        <v>0.12992499999999998</v>
      </c>
      <c r="H35" s="839"/>
      <c r="K35" s="809"/>
      <c r="L35" s="809"/>
      <c r="M35" s="809"/>
    </row>
    <row r="36" spans="2:13" ht="16.5" x14ac:dyDescent="0.25">
      <c r="B36" s="836" t="s">
        <v>532</v>
      </c>
      <c r="C36" s="837"/>
      <c r="D36" s="838"/>
      <c r="E36" s="839"/>
      <c r="F36" s="839">
        <f>$F$34*25%</f>
        <v>0.12827205957390844</v>
      </c>
      <c r="G36" s="839">
        <f>$G$34*25%</f>
        <v>0.12992499999999998</v>
      </c>
      <c r="H36" s="839"/>
      <c r="K36" s="809"/>
      <c r="L36" s="809"/>
      <c r="M36" s="809"/>
    </row>
    <row r="37" spans="2:13" ht="16.5" x14ac:dyDescent="0.25">
      <c r="B37" s="836" t="s">
        <v>533</v>
      </c>
      <c r="C37" s="837"/>
      <c r="D37" s="838"/>
      <c r="E37" s="839"/>
      <c r="F37" s="839">
        <f>$F$34*25%</f>
        <v>0.12827205957390844</v>
      </c>
      <c r="G37" s="839">
        <f>$G$34*25%</f>
        <v>0.12992499999999998</v>
      </c>
      <c r="H37" s="839"/>
      <c r="K37" s="809"/>
      <c r="L37" s="809"/>
      <c r="M37" s="809"/>
    </row>
    <row r="38" spans="2:13" ht="16.5" x14ac:dyDescent="0.25">
      <c r="B38" s="836" t="s">
        <v>534</v>
      </c>
      <c r="C38" s="837"/>
      <c r="D38" s="838"/>
      <c r="E38" s="839"/>
      <c r="F38" s="839">
        <f>$F$34*25%</f>
        <v>0.12827205957390844</v>
      </c>
      <c r="G38" s="839">
        <f>$G$34*25%</f>
        <v>0.12992499999999998</v>
      </c>
      <c r="H38" s="839"/>
      <c r="K38" s="809"/>
      <c r="L38" s="809"/>
      <c r="M38" s="809"/>
    </row>
    <row r="39" spans="2:13" ht="16.5" x14ac:dyDescent="0.25">
      <c r="B39" s="840" t="s">
        <v>50</v>
      </c>
      <c r="C39" s="841"/>
      <c r="D39" s="842">
        <f>SUM(D33:D34)</f>
        <v>82595981.955285892</v>
      </c>
      <c r="E39" s="843">
        <f>SUM(E33:E34)</f>
        <v>0.46145008976330698</v>
      </c>
      <c r="F39" s="843">
        <f>SUM(F33:F34)</f>
        <v>0.51308823829563377</v>
      </c>
      <c r="G39" s="843">
        <f>SUM(G33:G34)</f>
        <v>0.51969999999999994</v>
      </c>
      <c r="H39" s="843">
        <f>SUM(H33:H34)</f>
        <v>-6.6117617043661703E-3</v>
      </c>
      <c r="K39" s="809"/>
      <c r="L39" s="809"/>
      <c r="M39" s="809"/>
    </row>
    <row r="40" spans="2:13" ht="16.5" x14ac:dyDescent="0.25">
      <c r="B40" s="906"/>
      <c r="C40" s="907"/>
      <c r="D40" s="907"/>
      <c r="E40" s="907"/>
      <c r="F40" s="907"/>
      <c r="G40" s="907"/>
      <c r="H40" s="908"/>
    </row>
    <row r="41" spans="2:13" ht="16.5" x14ac:dyDescent="0.25">
      <c r="B41" s="840" t="s">
        <v>101</v>
      </c>
      <c r="C41" s="841"/>
      <c r="D41" s="842">
        <f>D32+D39</f>
        <v>160978123.82067373</v>
      </c>
      <c r="E41" s="843">
        <f>E32+E39</f>
        <v>0.89935815191582358</v>
      </c>
      <c r="F41" s="843">
        <f>F32+F39</f>
        <v>0.99999999999999989</v>
      </c>
      <c r="G41" s="843">
        <f>G32+G39</f>
        <v>1</v>
      </c>
      <c r="H41" s="843">
        <f>H32+H39</f>
        <v>-8.3266726846886741E-17</v>
      </c>
    </row>
    <row r="42" spans="2:13" ht="16.5" x14ac:dyDescent="0.25">
      <c r="B42" s="895"/>
      <c r="C42" s="896"/>
      <c r="D42" s="896"/>
      <c r="E42" s="896"/>
      <c r="F42" s="896"/>
      <c r="G42" s="896"/>
      <c r="H42" s="897"/>
    </row>
    <row r="43" spans="2:13" ht="16.5" x14ac:dyDescent="0.25">
      <c r="B43" s="898" t="s">
        <v>51</v>
      </c>
      <c r="C43" s="899"/>
      <c r="D43" s="899"/>
      <c r="E43" s="899"/>
      <c r="F43" s="899"/>
      <c r="G43" s="899"/>
      <c r="H43" s="900"/>
    </row>
    <row r="44" spans="2:13" ht="16.5" x14ac:dyDescent="0.25">
      <c r="B44" s="836" t="s">
        <v>51</v>
      </c>
      <c r="C44" s="837"/>
      <c r="D44" s="838">
        <f>'2023 Joint Table A1 Pies'!D40</f>
        <v>18014109.115399811</v>
      </c>
      <c r="E44" s="839">
        <f>D44/D47</f>
        <v>0.1006418480841763</v>
      </c>
      <c r="F44" s="844"/>
      <c r="G44" s="845"/>
      <c r="H44" s="845"/>
      <c r="K44" s="809"/>
    </row>
    <row r="45" spans="2:13" ht="21.75" customHeight="1" x14ac:dyDescent="0.25">
      <c r="B45" s="846" t="s">
        <v>52</v>
      </c>
      <c r="C45" s="847"/>
      <c r="D45" s="842">
        <f>SUM(D44)</f>
        <v>18014109.115399811</v>
      </c>
      <c r="E45" s="843">
        <f>SUM(E44)</f>
        <v>0.1006418480841763</v>
      </c>
      <c r="F45" s="848"/>
      <c r="G45" s="848"/>
      <c r="H45" s="848"/>
      <c r="J45" s="809"/>
    </row>
    <row r="46" spans="2:13" ht="16.5" x14ac:dyDescent="0.25">
      <c r="B46" s="901"/>
      <c r="C46" s="902"/>
      <c r="D46" s="902"/>
      <c r="E46" s="902"/>
      <c r="F46" s="902"/>
      <c r="G46" s="902"/>
      <c r="H46" s="903"/>
    </row>
    <row r="47" spans="2:13" ht="16.5" x14ac:dyDescent="0.25">
      <c r="B47" s="846" t="s">
        <v>211</v>
      </c>
      <c r="C47" s="847"/>
      <c r="D47" s="849">
        <f>D45+D41</f>
        <v>178992232.93607354</v>
      </c>
      <c r="E47" s="843">
        <f>E41+E45</f>
        <v>0.99999999999999989</v>
      </c>
      <c r="F47" s="850"/>
      <c r="G47" s="850"/>
      <c r="H47" s="850"/>
      <c r="J47" s="817"/>
      <c r="K47" s="817"/>
    </row>
    <row r="48" spans="2:13" ht="21" customHeight="1" x14ac:dyDescent="0.25">
      <c r="B48" s="846" t="s">
        <v>169</v>
      </c>
      <c r="C48" s="847"/>
      <c r="D48" s="849">
        <f>'2023 Joint Table A1 Pies'!D44</f>
        <v>144692565.38669917</v>
      </c>
      <c r="E48" s="843">
        <f>D48/D47</f>
        <v>0.80837343058553623</v>
      </c>
      <c r="F48" s="850"/>
      <c r="G48" s="850"/>
      <c r="H48" s="850"/>
    </row>
    <row r="49" spans="2:8" ht="25.5" customHeight="1" x14ac:dyDescent="0.25">
      <c r="B49" s="846" t="s">
        <v>107</v>
      </c>
      <c r="C49" s="851"/>
      <c r="D49" s="852">
        <f>'2023 Joint Table A1 Pies'!D45</f>
        <v>34299667.549374372</v>
      </c>
      <c r="E49" s="843">
        <f>D49/D47</f>
        <v>0.19162656941446382</v>
      </c>
      <c r="F49" s="850"/>
      <c r="G49" s="850"/>
      <c r="H49" s="850"/>
    </row>
    <row r="50" spans="2:8" ht="18" x14ac:dyDescent="0.25">
      <c r="B50" s="820"/>
    </row>
    <row r="51" spans="2:8" ht="16.5" x14ac:dyDescent="0.25">
      <c r="B51" s="821" t="s">
        <v>285</v>
      </c>
      <c r="C51" s="822"/>
      <c r="D51" s="823"/>
      <c r="E51" s="824"/>
      <c r="F51" s="824"/>
      <c r="G51" s="825"/>
      <c r="H51" s="826"/>
    </row>
    <row r="52" spans="2:8" ht="16.5" x14ac:dyDescent="0.25">
      <c r="B52" s="827" t="s">
        <v>286</v>
      </c>
      <c r="C52" s="822"/>
      <c r="D52" s="823"/>
      <c r="E52" s="826"/>
      <c r="F52" s="826"/>
      <c r="G52" s="826"/>
      <c r="H52" s="826"/>
    </row>
    <row r="53" spans="2:8" x14ac:dyDescent="0.2">
      <c r="B53" s="828"/>
      <c r="C53" s="828"/>
      <c r="D53" s="829"/>
    </row>
    <row r="54" spans="2:8" x14ac:dyDescent="0.2">
      <c r="B54" s="830"/>
      <c r="C54" s="830"/>
      <c r="D54" s="831"/>
    </row>
    <row r="55" spans="2:8" ht="20.25" x14ac:dyDescent="0.3">
      <c r="C55" s="832"/>
      <c r="D55" s="804" t="s">
        <v>13</v>
      </c>
      <c r="E55" s="793" t="s">
        <v>13</v>
      </c>
    </row>
  </sheetData>
  <mergeCells count="9">
    <mergeCell ref="B42:H42"/>
    <mergeCell ref="B43:H43"/>
    <mergeCell ref="B46:H46"/>
    <mergeCell ref="B2:J2"/>
    <mergeCell ref="B3:J3"/>
    <mergeCell ref="B27:E27"/>
    <mergeCell ref="C29:D29"/>
    <mergeCell ref="B33:H33"/>
    <mergeCell ref="B40:H40"/>
  </mergeCell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DDE3-03E1-4812-AE88-F080AB76D73D}">
  <sheetPr>
    <tabColor theme="9" tint="0.39997558519241921"/>
    <pageSetUpPr fitToPage="1"/>
  </sheetPr>
  <dimension ref="B2:N51"/>
  <sheetViews>
    <sheetView showGridLines="0" topLeftCell="A13" zoomScale="75" zoomScaleNormal="75" workbookViewId="0">
      <selection activeCell="D30" sqref="D30"/>
    </sheetView>
  </sheetViews>
  <sheetFormatPr defaultRowHeight="12.75" x14ac:dyDescent="0.2"/>
  <cols>
    <col min="2" max="2" width="39.28515625" customWidth="1"/>
    <col min="3" max="3" width="3.5703125" customWidth="1"/>
    <col min="4" max="4" width="18.7109375" bestFit="1" customWidth="1"/>
    <col min="5" max="5" width="13.28515625" customWidth="1"/>
    <col min="6" max="6" width="17.5703125" customWidth="1"/>
    <col min="7" max="7" width="18.7109375" customWidth="1"/>
    <col min="8" max="8" width="16.42578125" customWidth="1"/>
    <col min="9" max="9" width="20.5703125" bestFit="1" customWidth="1"/>
    <col min="10" max="10" width="12" customWidth="1"/>
    <col min="11" max="11" width="12.140625" customWidth="1"/>
    <col min="12" max="12" width="11.140625" customWidth="1"/>
    <col min="13" max="13" width="10" customWidth="1"/>
    <col min="14" max="14" width="11.5703125" customWidth="1"/>
  </cols>
  <sheetData>
    <row r="2" spans="2:10" ht="54" customHeight="1" x14ac:dyDescent="0.35">
      <c r="B2" s="868" t="s">
        <v>414</v>
      </c>
      <c r="C2" s="869"/>
      <c r="D2" s="869"/>
      <c r="E2" s="869"/>
      <c r="F2" s="869"/>
      <c r="G2" s="869"/>
      <c r="H2" s="869"/>
      <c r="I2" s="869"/>
      <c r="J2" s="869"/>
    </row>
    <row r="3" spans="2:10" ht="23.25" x14ac:dyDescent="0.35">
      <c r="B3" s="869" t="s">
        <v>146</v>
      </c>
      <c r="C3" s="869"/>
      <c r="D3" s="869"/>
      <c r="E3" s="869"/>
      <c r="F3" s="869"/>
      <c r="G3" s="869"/>
      <c r="H3" s="869"/>
      <c r="I3" s="869"/>
      <c r="J3" s="869"/>
    </row>
    <row r="24" spans="2:14" ht="13.5" customHeight="1" x14ac:dyDescent="0.2"/>
    <row r="25" spans="2:14" ht="13.5" customHeight="1" x14ac:dyDescent="0.2"/>
    <row r="26" spans="2:14" s="4" customFormat="1" ht="13.5" customHeight="1" x14ac:dyDescent="0.2"/>
    <row r="27" spans="2:14" s="4" customFormat="1" ht="13.5" customHeight="1" x14ac:dyDescent="0.2">
      <c r="B27" s="875"/>
      <c r="C27" s="876"/>
      <c r="D27" s="876"/>
      <c r="E27" s="876"/>
    </row>
    <row r="29" spans="2:14" ht="72.75" customHeight="1" x14ac:dyDescent="0.2">
      <c r="B29" s="473" t="s">
        <v>47</v>
      </c>
      <c r="C29" s="870" t="s">
        <v>481</v>
      </c>
      <c r="D29" s="871"/>
      <c r="E29" s="568" t="s">
        <v>215</v>
      </c>
      <c r="F29" s="568" t="s">
        <v>287</v>
      </c>
      <c r="G29" s="568" t="s">
        <v>284</v>
      </c>
      <c r="H29" s="475" t="s">
        <v>42</v>
      </c>
      <c r="I29" s="69"/>
      <c r="J29" s="68"/>
      <c r="K29" s="68"/>
      <c r="L29" s="68"/>
      <c r="M29" s="68"/>
      <c r="N29" s="4"/>
    </row>
    <row r="30" spans="2:14" ht="22.5" customHeight="1" x14ac:dyDescent="0.25">
      <c r="B30" s="476" t="s">
        <v>283</v>
      </c>
      <c r="C30" s="477"/>
      <c r="D30" s="478">
        <f>'ES CT Electric 2024 Table A Pie'!D30+'[15]Budget Pies 2024'!$C$32</f>
        <v>22202387.502531175</v>
      </c>
      <c r="E30" s="479">
        <f>D30/D43</f>
        <v>0.12326532927401053</v>
      </c>
      <c r="F30" s="480">
        <f>D30/D37</f>
        <v>0.13683307527596805</v>
      </c>
      <c r="G30" s="479">
        <f>0.125*0.8+0.1307*0.2</f>
        <v>0.12614</v>
      </c>
      <c r="H30" s="480">
        <f>F30-G30</f>
        <v>1.069307527596805E-2</v>
      </c>
      <c r="I30" s="85"/>
      <c r="K30" s="4"/>
      <c r="L30" s="4"/>
      <c r="M30" s="4"/>
      <c r="N30" s="4"/>
    </row>
    <row r="31" spans="2:14" ht="24.75" customHeight="1" x14ac:dyDescent="0.25">
      <c r="B31" s="476" t="s">
        <v>288</v>
      </c>
      <c r="C31" s="477"/>
      <c r="D31" s="478">
        <f>'ES CT Electric 2024 Table A Pie'!D31+'[15]Budget Pies 2024'!$C$33</f>
        <v>56599182.204865076</v>
      </c>
      <c r="E31" s="479">
        <f>D31/D43</f>
        <v>0.31423272971553318</v>
      </c>
      <c r="F31" s="480">
        <f>D31/D37</f>
        <v>0.34882015091005913</v>
      </c>
      <c r="G31" s="479">
        <f>0.3762*0.8+0.2892*0.2</f>
        <v>0.35880000000000001</v>
      </c>
      <c r="H31" s="480">
        <f>F31-G31</f>
        <v>-9.9798490899408732E-3</v>
      </c>
      <c r="I31" s="699" t="s">
        <v>490</v>
      </c>
      <c r="K31" s="4"/>
      <c r="L31" s="71"/>
      <c r="M31" s="71"/>
      <c r="N31" s="4"/>
    </row>
    <row r="32" spans="2:14" ht="21.75" customHeight="1" x14ac:dyDescent="0.25">
      <c r="B32" s="481" t="s">
        <v>48</v>
      </c>
      <c r="C32" s="482"/>
      <c r="D32" s="483">
        <f>SUM(D30:D31)</f>
        <v>78801569.707396254</v>
      </c>
      <c r="E32" s="484">
        <f>SUM(E30:E31)</f>
        <v>0.43749805898954369</v>
      </c>
      <c r="F32" s="484">
        <f>SUM(F30:F31)</f>
        <v>0.48565322618602719</v>
      </c>
      <c r="G32" s="484">
        <f>SUM(G30:G31)</f>
        <v>0.48494000000000004</v>
      </c>
      <c r="H32" s="484">
        <f>SUM(H30:H31)</f>
        <v>7.1322618602717713E-4</v>
      </c>
      <c r="K32" s="72"/>
      <c r="L32" s="72"/>
      <c r="M32" s="72"/>
      <c r="N32" s="4"/>
    </row>
    <row r="33" spans="2:14" ht="16.5" x14ac:dyDescent="0.25">
      <c r="B33" s="872"/>
      <c r="C33" s="873"/>
      <c r="D33" s="873"/>
      <c r="E33" s="873"/>
      <c r="F33" s="873"/>
      <c r="G33" s="873"/>
      <c r="H33" s="874"/>
      <c r="I33" s="569"/>
      <c r="K33" s="73"/>
      <c r="L33" s="73"/>
      <c r="M33" s="73"/>
      <c r="N33" s="4"/>
    </row>
    <row r="34" spans="2:14" ht="16.5" x14ac:dyDescent="0.25">
      <c r="B34" s="476" t="s">
        <v>108</v>
      </c>
      <c r="C34" s="477"/>
      <c r="D34" s="478">
        <f>'ES CT Electric 2024 Table A Pie'!D36+'[15]Budget Pies 2024'!$C$39</f>
        <v>83457353.85880217</v>
      </c>
      <c r="E34" s="479">
        <f>D34/D43</f>
        <v>0.46334648481250279</v>
      </c>
      <c r="F34" s="480">
        <f>D34/D37</f>
        <v>0.51434677381397287</v>
      </c>
      <c r="G34" s="480">
        <f>1-G32</f>
        <v>0.51505999999999996</v>
      </c>
      <c r="H34" s="480">
        <f>F34-G34</f>
        <v>-7.1322618602709387E-4</v>
      </c>
      <c r="K34" s="72"/>
      <c r="L34" s="72"/>
      <c r="M34" s="72"/>
      <c r="N34" s="4"/>
    </row>
    <row r="35" spans="2:14" ht="16.5" x14ac:dyDescent="0.25">
      <c r="B35" s="481" t="s">
        <v>50</v>
      </c>
      <c r="C35" s="482"/>
      <c r="D35" s="483">
        <f>SUM(D33:D34)</f>
        <v>83457353.85880217</v>
      </c>
      <c r="E35" s="484">
        <f>SUM(E33:E34)</f>
        <v>0.46334648481250279</v>
      </c>
      <c r="F35" s="484">
        <f>SUM(F33:F34)</f>
        <v>0.51434677381397287</v>
      </c>
      <c r="G35" s="484">
        <f>SUM(G33:G34)</f>
        <v>0.51505999999999996</v>
      </c>
      <c r="H35" s="484">
        <f>SUM(H33:H34)</f>
        <v>-7.1322618602709387E-4</v>
      </c>
      <c r="K35" s="72"/>
      <c r="L35" s="72"/>
      <c r="M35" s="72"/>
      <c r="N35" s="4"/>
    </row>
    <row r="36" spans="2:14" ht="16.5" x14ac:dyDescent="0.25">
      <c r="B36" s="865"/>
      <c r="C36" s="866"/>
      <c r="D36" s="866"/>
      <c r="E36" s="866"/>
      <c r="F36" s="866"/>
      <c r="G36" s="866"/>
      <c r="H36" s="867"/>
      <c r="J36" s="4"/>
      <c r="K36" s="4"/>
      <c r="L36" s="4"/>
      <c r="M36" s="4"/>
      <c r="N36" s="4"/>
    </row>
    <row r="37" spans="2:14" ht="16.5" x14ac:dyDescent="0.25">
      <c r="B37" s="481" t="s">
        <v>101</v>
      </c>
      <c r="C37" s="482"/>
      <c r="D37" s="483">
        <f>D32+D35</f>
        <v>162258923.56619841</v>
      </c>
      <c r="E37" s="484">
        <f>E32+E35</f>
        <v>0.90084454380204648</v>
      </c>
      <c r="F37" s="484">
        <f>F32+F35</f>
        <v>1</v>
      </c>
      <c r="G37" s="484">
        <f>G32+G35</f>
        <v>1</v>
      </c>
      <c r="H37" s="484">
        <f>H32+H35</f>
        <v>8.3266726846886741E-17</v>
      </c>
      <c r="J37" s="4"/>
    </row>
    <row r="38" spans="2:14" ht="16.5" x14ac:dyDescent="0.25">
      <c r="B38" s="872"/>
      <c r="C38" s="873"/>
      <c r="D38" s="873"/>
      <c r="E38" s="873"/>
      <c r="F38" s="873"/>
      <c r="G38" s="873"/>
      <c r="H38" s="874"/>
      <c r="J38" s="4"/>
    </row>
    <row r="39" spans="2:14" s="38" customFormat="1" ht="16.5" x14ac:dyDescent="0.25">
      <c r="B39" s="859" t="s">
        <v>51</v>
      </c>
      <c r="C39" s="860"/>
      <c r="D39" s="860"/>
      <c r="E39" s="860"/>
      <c r="F39" s="860"/>
      <c r="G39" s="860"/>
      <c r="H39" s="861"/>
    </row>
    <row r="40" spans="2:14" s="38" customFormat="1" ht="16.5" x14ac:dyDescent="0.25">
      <c r="B40" s="476" t="s">
        <v>51</v>
      </c>
      <c r="C40" s="477"/>
      <c r="D40" s="478">
        <f>'ES CT Electric 2024 Table A Pie'!D41+'[15]Budget Pies 2024'!$C$43</f>
        <v>17859749.16436936</v>
      </c>
      <c r="E40" s="479">
        <f>D40/D43</f>
        <v>9.9155456197953656E-2</v>
      </c>
      <c r="F40" s="485"/>
      <c r="G40" s="486"/>
      <c r="H40" s="486"/>
      <c r="K40" s="74"/>
    </row>
    <row r="41" spans="2:14" s="38" customFormat="1" ht="21.75" customHeight="1" x14ac:dyDescent="0.25">
      <c r="B41" s="487" t="s">
        <v>52</v>
      </c>
      <c r="C41" s="488"/>
      <c r="D41" s="483">
        <f>SUM(D40)</f>
        <v>17859749.16436936</v>
      </c>
      <c r="E41" s="484">
        <f>SUM(E40)</f>
        <v>9.9155456197953656E-2</v>
      </c>
      <c r="F41" s="489"/>
      <c r="G41" s="489"/>
      <c r="H41" s="489"/>
      <c r="J41" s="74"/>
    </row>
    <row r="42" spans="2:14" s="38" customFormat="1" ht="16.5" x14ac:dyDescent="0.25">
      <c r="B42" s="862"/>
      <c r="C42" s="863"/>
      <c r="D42" s="863"/>
      <c r="E42" s="863"/>
      <c r="F42" s="863"/>
      <c r="G42" s="863"/>
      <c r="H42" s="864"/>
    </row>
    <row r="43" spans="2:14" s="38" customFormat="1" ht="16.5" x14ac:dyDescent="0.25">
      <c r="B43" s="487" t="s">
        <v>211</v>
      </c>
      <c r="C43" s="488"/>
      <c r="D43" s="490">
        <f>D41+D37</f>
        <v>180118672.73056775</v>
      </c>
      <c r="E43" s="484">
        <f>E37+E41</f>
        <v>1.0000000000000002</v>
      </c>
      <c r="F43" s="491"/>
      <c r="G43" s="491"/>
      <c r="H43" s="491"/>
      <c r="J43" s="75"/>
      <c r="K43" s="75"/>
    </row>
    <row r="44" spans="2:14" s="38" customFormat="1" ht="21" customHeight="1" x14ac:dyDescent="0.25">
      <c r="B44" s="487" t="s">
        <v>169</v>
      </c>
      <c r="C44" s="488"/>
      <c r="D44" s="490">
        <f>' 2022 - 2024 Combined Table A1'!U56</f>
        <v>146492580.44853666</v>
      </c>
      <c r="E44" s="484">
        <f>D44/D43</f>
        <v>0.81331145864964816</v>
      </c>
      <c r="F44" s="491"/>
      <c r="G44" s="491"/>
      <c r="H44" s="491"/>
    </row>
    <row r="45" spans="2:14" s="41" customFormat="1" ht="25.5" customHeight="1" x14ac:dyDescent="0.25">
      <c r="B45" s="487" t="s">
        <v>107</v>
      </c>
      <c r="C45" s="492"/>
      <c r="D45" s="493">
        <f>' 2022 - 2024 Combined Table A1'!V56</f>
        <v>33626092.282031119</v>
      </c>
      <c r="E45" s="484">
        <f>D45/D43</f>
        <v>0.18668854135035201</v>
      </c>
      <c r="F45" s="491"/>
      <c r="G45" s="491"/>
      <c r="H45" s="491"/>
    </row>
    <row r="46" spans="2:14" s="41" customFormat="1" ht="18" x14ac:dyDescent="0.25">
      <c r="B46" s="281"/>
      <c r="C46" s="569"/>
      <c r="D46" s="569"/>
      <c r="E46" s="569"/>
      <c r="F46" s="569"/>
    </row>
    <row r="47" spans="2:14" s="41" customFormat="1" ht="16.5" x14ac:dyDescent="0.25">
      <c r="B47" s="494" t="s">
        <v>285</v>
      </c>
      <c r="C47" s="495"/>
      <c r="D47" s="496"/>
      <c r="E47" s="43"/>
      <c r="F47" s="43"/>
      <c r="G47" s="40"/>
      <c r="H47" s="44"/>
    </row>
    <row r="48" spans="2:14" s="41" customFormat="1" ht="16.5" x14ac:dyDescent="0.25">
      <c r="B48" s="497" t="s">
        <v>286</v>
      </c>
      <c r="C48" s="495"/>
      <c r="D48" s="496"/>
      <c r="E48" s="44"/>
      <c r="F48" s="44"/>
      <c r="G48" s="44"/>
      <c r="H48" s="44"/>
    </row>
    <row r="49" spans="2:8" s="41" customFormat="1" x14ac:dyDescent="0.2">
      <c r="B49" s="39"/>
      <c r="C49" s="39"/>
      <c r="D49" s="42"/>
      <c r="E49" s="38"/>
      <c r="F49" s="38"/>
      <c r="G49" s="38"/>
      <c r="H49" s="38"/>
    </row>
    <row r="50" spans="2:8" x14ac:dyDescent="0.2">
      <c r="B50" s="45"/>
      <c r="C50" s="45"/>
      <c r="D50" s="46"/>
      <c r="E50" s="13"/>
      <c r="F50" s="13"/>
      <c r="G50" s="13"/>
      <c r="H50" s="13"/>
    </row>
    <row r="51" spans="2:8" ht="20.25" x14ac:dyDescent="0.3">
      <c r="B51" s="13"/>
      <c r="C51" s="216"/>
      <c r="D51" s="576" t="s">
        <v>13</v>
      </c>
      <c r="E51" s="38" t="s">
        <v>13</v>
      </c>
      <c r="F51" s="13"/>
      <c r="G51" s="13"/>
      <c r="H51" s="13"/>
    </row>
  </sheetData>
  <mergeCells count="9">
    <mergeCell ref="B38:H38"/>
    <mergeCell ref="B39:H39"/>
    <mergeCell ref="B42:H42"/>
    <mergeCell ref="B2:J2"/>
    <mergeCell ref="B3:J3"/>
    <mergeCell ref="B27:E27"/>
    <mergeCell ref="C29:D29"/>
    <mergeCell ref="B33:H33"/>
    <mergeCell ref="B36:H36"/>
  </mergeCells>
  <pageMargins left="0.75" right="0.75" top="1" bottom="1" header="0.5" footer="0.5"/>
  <pageSetup scale="58" orientation="landscape"/>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A7D7-E082-4317-8EB6-F577A4C21819}">
  <sheetPr>
    <tabColor theme="9" tint="0.39997558519241921"/>
  </sheetPr>
  <dimension ref="B2:M55"/>
  <sheetViews>
    <sheetView topLeftCell="A29" zoomScale="90" zoomScaleNormal="90" workbookViewId="0">
      <selection activeCell="D47" sqref="D47"/>
    </sheetView>
  </sheetViews>
  <sheetFormatPr defaultColWidth="9.140625" defaultRowHeight="12.75" x14ac:dyDescent="0.2"/>
  <cols>
    <col min="1" max="1" width="9.140625" style="793"/>
    <col min="2" max="2" width="39.28515625" style="793" customWidth="1"/>
    <col min="3" max="3" width="3.5703125" style="793" customWidth="1"/>
    <col min="4" max="4" width="18.7109375" style="793" bestFit="1" customWidth="1"/>
    <col min="5" max="5" width="13.28515625" style="793" customWidth="1"/>
    <col min="6" max="6" width="17.5703125" style="793" customWidth="1"/>
    <col min="7" max="7" width="18.7109375" style="793" customWidth="1"/>
    <col min="8" max="8" width="16.42578125" style="793" customWidth="1"/>
    <col min="9" max="9" width="20.5703125" style="793" bestFit="1" customWidth="1"/>
    <col min="10" max="10" width="12" style="793" customWidth="1"/>
    <col min="11" max="11" width="19.42578125" style="793" customWidth="1"/>
    <col min="12" max="12" width="11.140625" style="793" customWidth="1"/>
    <col min="13" max="13" width="10" style="793" customWidth="1"/>
    <col min="14" max="14" width="11.5703125" style="793" customWidth="1"/>
    <col min="15" max="16384" width="9.140625" style="793"/>
  </cols>
  <sheetData>
    <row r="2" spans="2:10" ht="54" customHeight="1" x14ac:dyDescent="0.35">
      <c r="B2" s="886" t="s">
        <v>414</v>
      </c>
      <c r="C2" s="887"/>
      <c r="D2" s="887"/>
      <c r="E2" s="887"/>
      <c r="F2" s="887"/>
      <c r="G2" s="887"/>
      <c r="H2" s="887"/>
      <c r="I2" s="887"/>
      <c r="J2" s="887"/>
    </row>
    <row r="3" spans="2:10" ht="23.25" x14ac:dyDescent="0.35">
      <c r="B3" s="887" t="s">
        <v>146</v>
      </c>
      <c r="C3" s="887"/>
      <c r="D3" s="887"/>
      <c r="E3" s="887"/>
      <c r="F3" s="887"/>
      <c r="G3" s="887"/>
      <c r="H3" s="887"/>
      <c r="I3" s="887"/>
      <c r="J3" s="887"/>
    </row>
    <row r="24" spans="2:13" ht="13.5" customHeight="1" x14ac:dyDescent="0.2"/>
    <row r="25" spans="2:13" ht="13.5" customHeight="1" x14ac:dyDescent="0.2"/>
    <row r="26" spans="2:13" ht="13.5" customHeight="1" x14ac:dyDescent="0.2"/>
    <row r="27" spans="2:13" ht="13.5" customHeight="1" x14ac:dyDescent="0.2">
      <c r="B27" s="888"/>
      <c r="C27" s="889"/>
      <c r="D27" s="889"/>
      <c r="E27" s="889"/>
    </row>
    <row r="29" spans="2:13" ht="72.75" customHeight="1" x14ac:dyDescent="0.2">
      <c r="B29" s="833" t="s">
        <v>47</v>
      </c>
      <c r="C29" s="904" t="s">
        <v>481</v>
      </c>
      <c r="D29" s="905"/>
      <c r="E29" s="834" t="s">
        <v>215</v>
      </c>
      <c r="F29" s="834" t="s">
        <v>287</v>
      </c>
      <c r="G29" s="834" t="s">
        <v>284</v>
      </c>
      <c r="H29" s="835" t="s">
        <v>42</v>
      </c>
      <c r="I29" s="797"/>
      <c r="J29" s="798"/>
      <c r="K29" s="798"/>
      <c r="L29" s="798"/>
      <c r="M29" s="798"/>
    </row>
    <row r="30" spans="2:13" ht="22.5" customHeight="1" x14ac:dyDescent="0.25">
      <c r="B30" s="836" t="s">
        <v>283</v>
      </c>
      <c r="C30" s="837"/>
      <c r="D30" s="838">
        <f>'2024 Joint Table A1 Pies '!D30</f>
        <v>22202387.502531175</v>
      </c>
      <c r="E30" s="839">
        <f>D30/D47</f>
        <v>0.12326532927401053</v>
      </c>
      <c r="F30" s="839">
        <f>D30/D41</f>
        <v>0.13683307527596805</v>
      </c>
      <c r="G30" s="839">
        <f>0.125*0.8+0.1307*0.2</f>
        <v>0.12614</v>
      </c>
      <c r="H30" s="839">
        <f>F30-G30</f>
        <v>1.069307527596805E-2</v>
      </c>
      <c r="I30" s="803"/>
    </row>
    <row r="31" spans="2:13" ht="24.75" customHeight="1" x14ac:dyDescent="0.25">
      <c r="B31" s="836" t="s">
        <v>288</v>
      </c>
      <c r="C31" s="837"/>
      <c r="D31" s="838">
        <f>'2024 Joint Table A1 Pies '!D31</f>
        <v>56599182.204865076</v>
      </c>
      <c r="E31" s="839">
        <f>D31/D47</f>
        <v>0.31423272971553318</v>
      </c>
      <c r="F31" s="839">
        <f>D31/D41</f>
        <v>0.34882015091005913</v>
      </c>
      <c r="G31" s="839">
        <f>0.3762*0.8+0.2892*0.2</f>
        <v>0.35880000000000001</v>
      </c>
      <c r="H31" s="839">
        <f>F31-G31</f>
        <v>-9.9798490899408732E-3</v>
      </c>
      <c r="I31" s="803" t="s">
        <v>13</v>
      </c>
      <c r="L31" s="804"/>
      <c r="M31" s="804"/>
    </row>
    <row r="32" spans="2:13" ht="21.75" customHeight="1" x14ac:dyDescent="0.25">
      <c r="B32" s="840" t="s">
        <v>48</v>
      </c>
      <c r="C32" s="841"/>
      <c r="D32" s="842">
        <f>SUM(D30:D31)</f>
        <v>78801569.707396254</v>
      </c>
      <c r="E32" s="843">
        <f>SUM(E30:E31)</f>
        <v>0.43749805898954369</v>
      </c>
      <c r="F32" s="843">
        <f>SUM(F30:F31)</f>
        <v>0.48565322618602719</v>
      </c>
      <c r="G32" s="843">
        <f>SUM(G30:G31)</f>
        <v>0.48494000000000004</v>
      </c>
      <c r="H32" s="843">
        <f>SUM(H30:H31)</f>
        <v>7.1322618602717713E-4</v>
      </c>
      <c r="K32" s="809"/>
      <c r="L32" s="809"/>
      <c r="M32" s="809"/>
    </row>
    <row r="33" spans="2:13" ht="16.5" x14ac:dyDescent="0.25">
      <c r="B33" s="895"/>
      <c r="C33" s="896"/>
      <c r="D33" s="896"/>
      <c r="E33" s="896"/>
      <c r="F33" s="896"/>
      <c r="G33" s="896"/>
      <c r="H33" s="897"/>
      <c r="K33" s="809"/>
      <c r="L33" s="809"/>
      <c r="M33" s="809"/>
    </row>
    <row r="34" spans="2:13" ht="16.5" x14ac:dyDescent="0.25">
      <c r="B34" s="836" t="s">
        <v>108</v>
      </c>
      <c r="C34" s="837"/>
      <c r="D34" s="838">
        <f>'2024 Joint Table A1 Pies '!D34</f>
        <v>83457353.85880217</v>
      </c>
      <c r="E34" s="839">
        <f>D34/D47</f>
        <v>0.46334648481250279</v>
      </c>
      <c r="F34" s="839">
        <f>D34/D41</f>
        <v>0.51434677381397287</v>
      </c>
      <c r="G34" s="839">
        <f>1-G32</f>
        <v>0.51505999999999996</v>
      </c>
      <c r="H34" s="839">
        <f>F34-G34</f>
        <v>-7.1322618602709387E-4</v>
      </c>
      <c r="K34" s="809"/>
      <c r="L34" s="809"/>
      <c r="M34" s="809"/>
    </row>
    <row r="35" spans="2:13" ht="16.5" x14ac:dyDescent="0.25">
      <c r="B35" s="836" t="s">
        <v>531</v>
      </c>
      <c r="C35" s="837"/>
      <c r="D35" s="838"/>
      <c r="E35" s="839"/>
      <c r="F35" s="839">
        <f>$F$34*25%</f>
        <v>0.12858669345349322</v>
      </c>
      <c r="G35" s="839">
        <f>$G$34*25%</f>
        <v>0.12876499999999999</v>
      </c>
      <c r="H35" s="839"/>
      <c r="K35" s="809"/>
      <c r="L35" s="809"/>
      <c r="M35" s="809"/>
    </row>
    <row r="36" spans="2:13" ht="16.5" x14ac:dyDescent="0.25">
      <c r="B36" s="836" t="s">
        <v>532</v>
      </c>
      <c r="C36" s="837"/>
      <c r="D36" s="838"/>
      <c r="E36" s="839"/>
      <c r="F36" s="839">
        <f>$F$34*25%</f>
        <v>0.12858669345349322</v>
      </c>
      <c r="G36" s="839">
        <f>$G$34*25%</f>
        <v>0.12876499999999999</v>
      </c>
      <c r="H36" s="839"/>
      <c r="K36" s="809"/>
      <c r="L36" s="809"/>
      <c r="M36" s="809"/>
    </row>
    <row r="37" spans="2:13" ht="16.5" x14ac:dyDescent="0.25">
      <c r="B37" s="836" t="s">
        <v>533</v>
      </c>
      <c r="C37" s="837"/>
      <c r="D37" s="838"/>
      <c r="E37" s="839"/>
      <c r="F37" s="839">
        <f>$F$34*25%</f>
        <v>0.12858669345349322</v>
      </c>
      <c r="G37" s="839">
        <f>$G$34*25%</f>
        <v>0.12876499999999999</v>
      </c>
      <c r="H37" s="839"/>
      <c r="K37" s="809"/>
      <c r="L37" s="809"/>
      <c r="M37" s="809"/>
    </row>
    <row r="38" spans="2:13" ht="16.5" x14ac:dyDescent="0.25">
      <c r="B38" s="836" t="s">
        <v>534</v>
      </c>
      <c r="C38" s="837"/>
      <c r="D38" s="838"/>
      <c r="E38" s="839"/>
      <c r="F38" s="839">
        <f>$F$34*25%</f>
        <v>0.12858669345349322</v>
      </c>
      <c r="G38" s="839">
        <f>$G$34*25%</f>
        <v>0.12876499999999999</v>
      </c>
      <c r="H38" s="839"/>
      <c r="K38" s="809"/>
      <c r="L38" s="809"/>
      <c r="M38" s="809"/>
    </row>
    <row r="39" spans="2:13" ht="16.5" x14ac:dyDescent="0.25">
      <c r="B39" s="840" t="s">
        <v>50</v>
      </c>
      <c r="C39" s="841"/>
      <c r="D39" s="842">
        <f>SUM(D33:D34)</f>
        <v>83457353.85880217</v>
      </c>
      <c r="E39" s="843">
        <f>SUM(E33:E34)</f>
        <v>0.46334648481250279</v>
      </c>
      <c r="F39" s="843">
        <f>SUM(F33:F34)</f>
        <v>0.51434677381397287</v>
      </c>
      <c r="G39" s="843">
        <f>SUM(G33:G34)</f>
        <v>0.51505999999999996</v>
      </c>
      <c r="H39" s="843">
        <f>SUM(H33:H34)</f>
        <v>-7.1322618602709387E-4</v>
      </c>
      <c r="K39" s="809"/>
      <c r="L39" s="809"/>
      <c r="M39" s="809"/>
    </row>
    <row r="40" spans="2:13" ht="16.5" x14ac:dyDescent="0.25">
      <c r="B40" s="906"/>
      <c r="C40" s="907"/>
      <c r="D40" s="907"/>
      <c r="E40" s="907"/>
      <c r="F40" s="907"/>
      <c r="G40" s="907"/>
      <c r="H40" s="908"/>
    </row>
    <row r="41" spans="2:13" ht="16.5" x14ac:dyDescent="0.25">
      <c r="B41" s="840" t="s">
        <v>101</v>
      </c>
      <c r="C41" s="841"/>
      <c r="D41" s="842">
        <f>D32+D39</f>
        <v>162258923.56619841</v>
      </c>
      <c r="E41" s="843">
        <f>E32+E39</f>
        <v>0.90084454380204648</v>
      </c>
      <c r="F41" s="843">
        <f>F32+F39</f>
        <v>1</v>
      </c>
      <c r="G41" s="843">
        <f>G32+G39</f>
        <v>1</v>
      </c>
      <c r="H41" s="843">
        <f>H32+H39</f>
        <v>8.3266726846886741E-17</v>
      </c>
    </row>
    <row r="42" spans="2:13" ht="16.5" x14ac:dyDescent="0.25">
      <c r="B42" s="895"/>
      <c r="C42" s="896"/>
      <c r="D42" s="896"/>
      <c r="E42" s="896"/>
      <c r="F42" s="896"/>
      <c r="G42" s="896"/>
      <c r="H42" s="897"/>
    </row>
    <row r="43" spans="2:13" ht="16.5" x14ac:dyDescent="0.25">
      <c r="B43" s="898" t="s">
        <v>51</v>
      </c>
      <c r="C43" s="899"/>
      <c r="D43" s="899"/>
      <c r="E43" s="899"/>
      <c r="F43" s="899"/>
      <c r="G43" s="899"/>
      <c r="H43" s="900"/>
    </row>
    <row r="44" spans="2:13" ht="16.5" x14ac:dyDescent="0.25">
      <c r="B44" s="836" t="s">
        <v>51</v>
      </c>
      <c r="C44" s="837"/>
      <c r="D44" s="838">
        <f>'2024 Joint Table A1 Pies '!D40</f>
        <v>17859749.16436936</v>
      </c>
      <c r="E44" s="839">
        <f>D44/D47</f>
        <v>9.9155456197953656E-2</v>
      </c>
      <c r="F44" s="844"/>
      <c r="G44" s="845"/>
      <c r="H44" s="845"/>
      <c r="K44" s="809"/>
    </row>
    <row r="45" spans="2:13" ht="21.75" customHeight="1" x14ac:dyDescent="0.25">
      <c r="B45" s="846" t="s">
        <v>52</v>
      </c>
      <c r="C45" s="847"/>
      <c r="D45" s="842">
        <f>SUM(D44)</f>
        <v>17859749.16436936</v>
      </c>
      <c r="E45" s="843">
        <f>SUM(E44)</f>
        <v>9.9155456197953656E-2</v>
      </c>
      <c r="F45" s="848"/>
      <c r="G45" s="848"/>
      <c r="H45" s="848"/>
      <c r="J45" s="809"/>
    </row>
    <row r="46" spans="2:13" ht="16.5" x14ac:dyDescent="0.25">
      <c r="B46" s="901"/>
      <c r="C46" s="902"/>
      <c r="D46" s="902"/>
      <c r="E46" s="902"/>
      <c r="F46" s="902"/>
      <c r="G46" s="902"/>
      <c r="H46" s="903"/>
    </row>
    <row r="47" spans="2:13" ht="16.5" x14ac:dyDescent="0.25">
      <c r="B47" s="846" t="s">
        <v>211</v>
      </c>
      <c r="C47" s="847"/>
      <c r="D47" s="849">
        <f>D45+D41</f>
        <v>180118672.73056775</v>
      </c>
      <c r="E47" s="843">
        <f>E41+E45</f>
        <v>1.0000000000000002</v>
      </c>
      <c r="F47" s="850"/>
      <c r="G47" s="850"/>
      <c r="H47" s="850"/>
      <c r="J47" s="817"/>
      <c r="K47" s="817"/>
    </row>
    <row r="48" spans="2:13" ht="21" customHeight="1" x14ac:dyDescent="0.25">
      <c r="B48" s="846" t="s">
        <v>169</v>
      </c>
      <c r="C48" s="847"/>
      <c r="D48" s="849">
        <f>'2024 Joint Table A1 Pies '!D44</f>
        <v>146492580.44853666</v>
      </c>
      <c r="E48" s="843">
        <f>D48/D47</f>
        <v>0.81331145864964816</v>
      </c>
      <c r="F48" s="850"/>
      <c r="G48" s="850"/>
      <c r="H48" s="850"/>
    </row>
    <row r="49" spans="2:8" ht="25.5" customHeight="1" x14ac:dyDescent="0.25">
      <c r="B49" s="846" t="s">
        <v>107</v>
      </c>
      <c r="C49" s="851"/>
      <c r="D49" s="852">
        <f>'2024 Joint Table A1 Pies '!D45</f>
        <v>33626092.282031119</v>
      </c>
      <c r="E49" s="843">
        <f>D49/D47</f>
        <v>0.18668854135035201</v>
      </c>
      <c r="F49" s="850"/>
      <c r="G49" s="850"/>
      <c r="H49" s="850"/>
    </row>
    <row r="50" spans="2:8" ht="18" x14ac:dyDescent="0.25">
      <c r="B50" s="820"/>
    </row>
    <row r="51" spans="2:8" ht="16.5" x14ac:dyDescent="0.25">
      <c r="B51" s="821" t="s">
        <v>285</v>
      </c>
      <c r="C51" s="822"/>
      <c r="D51" s="823"/>
      <c r="E51" s="824"/>
      <c r="F51" s="824"/>
      <c r="G51" s="825"/>
      <c r="H51" s="826"/>
    </row>
    <row r="52" spans="2:8" ht="16.5" x14ac:dyDescent="0.25">
      <c r="B52" s="827" t="s">
        <v>286</v>
      </c>
      <c r="C52" s="822"/>
      <c r="D52" s="823"/>
      <c r="E52" s="826"/>
      <c r="F52" s="826"/>
      <c r="G52" s="826"/>
      <c r="H52" s="826"/>
    </row>
    <row r="53" spans="2:8" x14ac:dyDescent="0.2">
      <c r="B53" s="828"/>
      <c r="C53" s="828"/>
      <c r="D53" s="829"/>
    </row>
    <row r="54" spans="2:8" x14ac:dyDescent="0.2">
      <c r="B54" s="830"/>
      <c r="C54" s="830"/>
      <c r="D54" s="831"/>
    </row>
    <row r="55" spans="2:8" ht="20.25" x14ac:dyDescent="0.3">
      <c r="C55" s="832"/>
      <c r="D55" s="804" t="s">
        <v>13</v>
      </c>
      <c r="E55" s="793" t="s">
        <v>13</v>
      </c>
    </row>
  </sheetData>
  <mergeCells count="9">
    <mergeCell ref="B42:H42"/>
    <mergeCell ref="B43:H43"/>
    <mergeCell ref="B46:H46"/>
    <mergeCell ref="B2:J2"/>
    <mergeCell ref="B3:J3"/>
    <mergeCell ref="B27:E27"/>
    <mergeCell ref="C29:D29"/>
    <mergeCell ref="B33:H33"/>
    <mergeCell ref="B40:H40"/>
  </mergeCells>
  <pageMargins left="0.7" right="0.7" top="0.75" bottom="0.75"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D8C84-2BB9-46E1-9E54-C1E4AD539CF4}">
  <sheetPr>
    <tabColor theme="9" tint="0.39997558519241921"/>
    <pageSetUpPr fitToPage="1"/>
  </sheetPr>
  <dimension ref="A2:Q62"/>
  <sheetViews>
    <sheetView showGridLines="0" zoomScale="90" zoomScaleNormal="90" workbookViewId="0">
      <selection activeCell="E3" sqref="E3:L3"/>
    </sheetView>
  </sheetViews>
  <sheetFormatPr defaultColWidth="9.140625" defaultRowHeight="15" x14ac:dyDescent="0.2"/>
  <cols>
    <col min="1" max="1" width="9.140625" style="2"/>
    <col min="2" max="2" width="1.7109375" style="2" customWidth="1"/>
    <col min="3" max="4" width="9.140625" style="2" hidden="1" customWidth="1"/>
    <col min="5" max="5" width="63" style="2" customWidth="1"/>
    <col min="6" max="6" width="21.7109375" style="5" bestFit="1" customWidth="1"/>
    <col min="7" max="7" width="18.85546875" style="5" bestFit="1" customWidth="1"/>
    <col min="8" max="8" width="21.7109375" style="78" bestFit="1" customWidth="1"/>
    <col min="9" max="9" width="0.85546875" style="2" hidden="1" customWidth="1"/>
    <col min="10" max="10" width="21.7109375" style="5" bestFit="1" customWidth="1"/>
    <col min="11" max="11" width="20.42578125" style="5" customWidth="1"/>
    <col min="12" max="12" width="21.7109375" style="78" bestFit="1" customWidth="1"/>
    <col min="13" max="13" width="1.5703125" style="2" customWidth="1"/>
    <col min="14" max="14" width="9.140625" style="2"/>
    <col min="15" max="17" width="12" style="2" bestFit="1" customWidth="1"/>
    <col min="18" max="16384" width="9.140625" style="2"/>
  </cols>
  <sheetData>
    <row r="2" spans="5:16" ht="23.25" x14ac:dyDescent="0.35">
      <c r="E2" s="869" t="s">
        <v>120</v>
      </c>
      <c r="F2" s="869"/>
      <c r="G2" s="869"/>
      <c r="H2" s="869"/>
      <c r="I2" s="869"/>
      <c r="J2" s="869"/>
      <c r="K2" s="869"/>
      <c r="L2" s="869"/>
      <c r="M2" s="86"/>
    </row>
    <row r="3" spans="5:16" ht="27.75" customHeight="1" x14ac:dyDescent="0.35">
      <c r="E3" s="912" t="s">
        <v>540</v>
      </c>
      <c r="F3" s="912"/>
      <c r="G3" s="912"/>
      <c r="H3" s="912"/>
      <c r="I3" s="912"/>
      <c r="J3" s="912"/>
      <c r="K3" s="912"/>
      <c r="L3" s="912"/>
      <c r="M3" s="86"/>
    </row>
    <row r="4" spans="5:16" ht="20.25" customHeight="1" x14ac:dyDescent="0.35">
      <c r="E4" s="913" t="s">
        <v>208</v>
      </c>
      <c r="F4" s="913"/>
      <c r="G4" s="913"/>
      <c r="H4" s="913"/>
      <c r="I4" s="913"/>
      <c r="J4" s="913"/>
      <c r="K4" s="913"/>
      <c r="L4" s="913"/>
      <c r="M4" s="86"/>
    </row>
    <row r="5" spans="5:16" ht="16.5" thickBot="1" x14ac:dyDescent="0.3">
      <c r="E5" s="79"/>
      <c r="F5" s="914"/>
      <c r="G5" s="914"/>
      <c r="H5" s="914"/>
      <c r="I5" s="112"/>
      <c r="J5" s="914"/>
      <c r="K5" s="914"/>
      <c r="L5" s="914"/>
    </row>
    <row r="6" spans="5:16" ht="18" x14ac:dyDescent="0.25">
      <c r="E6" s="248"/>
      <c r="F6" s="250">
        <v>2022</v>
      </c>
      <c r="G6" s="250">
        <v>2022</v>
      </c>
      <c r="H6" s="250">
        <v>2022</v>
      </c>
      <c r="I6" s="293"/>
      <c r="J6" s="250">
        <v>2023</v>
      </c>
      <c r="K6" s="250">
        <f>J6</f>
        <v>2023</v>
      </c>
      <c r="L6" s="250">
        <f>J6</f>
        <v>2023</v>
      </c>
    </row>
    <row r="7" spans="5:16" ht="36" x14ac:dyDescent="0.25">
      <c r="E7" s="252"/>
      <c r="F7" s="755" t="s">
        <v>169</v>
      </c>
      <c r="G7" s="256" t="s">
        <v>107</v>
      </c>
      <c r="H7" s="755" t="s">
        <v>170</v>
      </c>
      <c r="I7" s="252"/>
      <c r="J7" s="755" t="s">
        <v>169</v>
      </c>
      <c r="K7" s="256" t="s">
        <v>107</v>
      </c>
      <c r="L7" s="755" t="s">
        <v>170</v>
      </c>
    </row>
    <row r="8" spans="5:16" ht="36.75" x14ac:dyDescent="0.3">
      <c r="E8" s="755" t="s">
        <v>290</v>
      </c>
      <c r="F8" s="755" t="s">
        <v>121</v>
      </c>
      <c r="G8" s="256" t="s">
        <v>121</v>
      </c>
      <c r="H8" s="256" t="s">
        <v>9</v>
      </c>
      <c r="I8" s="252"/>
      <c r="J8" s="755" t="s">
        <v>121</v>
      </c>
      <c r="K8" s="256" t="s">
        <v>121</v>
      </c>
      <c r="L8" s="256" t="s">
        <v>9</v>
      </c>
      <c r="P8" s="12" t="s">
        <v>13</v>
      </c>
    </row>
    <row r="9" spans="5:16" ht="18.75" thickBot="1" x14ac:dyDescent="0.3">
      <c r="E9" s="284"/>
      <c r="F9" s="285" t="s">
        <v>487</v>
      </c>
      <c r="G9" s="285" t="s">
        <v>487</v>
      </c>
      <c r="H9" s="285" t="s">
        <v>487</v>
      </c>
      <c r="I9" s="284"/>
      <c r="J9" s="285" t="s">
        <v>522</v>
      </c>
      <c r="K9" s="285" t="s">
        <v>522</v>
      </c>
      <c r="L9" s="285" t="s">
        <v>522</v>
      </c>
    </row>
    <row r="10" spans="5:16" ht="16.5" thickBot="1" x14ac:dyDescent="0.3">
      <c r="E10" s="915"/>
      <c r="F10" s="915"/>
      <c r="G10" s="915"/>
      <c r="H10" s="915"/>
      <c r="I10" s="915"/>
      <c r="J10" s="915"/>
      <c r="K10" s="915"/>
      <c r="L10" s="915"/>
    </row>
    <row r="11" spans="5:16" ht="18.75" thickBot="1" x14ac:dyDescent="0.3">
      <c r="E11" s="577" t="s">
        <v>416</v>
      </c>
      <c r="F11" s="239">
        <v>24637290</v>
      </c>
      <c r="G11" s="286">
        <f>4918612.65</f>
        <v>4918612.6500000004</v>
      </c>
      <c r="H11" s="241">
        <f t="shared" ref="H11:H17" si="0">SUM(F11,G11)</f>
        <v>29555902.649999999</v>
      </c>
      <c r="I11" s="759"/>
      <c r="J11" s="239">
        <v>15959873</v>
      </c>
      <c r="K11" s="286">
        <v>3166813.3</v>
      </c>
      <c r="L11" s="241">
        <f t="shared" ref="L11" si="1">SUM(J11,K11)</f>
        <v>19126686.300000001</v>
      </c>
    </row>
    <row r="12" spans="5:16" ht="18.75" thickBot="1" x14ac:dyDescent="0.3">
      <c r="E12" s="577" t="s">
        <v>122</v>
      </c>
      <c r="F12" s="239">
        <v>0</v>
      </c>
      <c r="G12" s="239">
        <v>0</v>
      </c>
      <c r="H12" s="241">
        <f t="shared" si="0"/>
        <v>0</v>
      </c>
      <c r="I12" s="759"/>
      <c r="J12" s="239">
        <v>0</v>
      </c>
      <c r="K12" s="239">
        <v>0</v>
      </c>
      <c r="L12" s="241">
        <f t="shared" ref="L12:L14" si="2">SUM(J12,K12)</f>
        <v>0</v>
      </c>
    </row>
    <row r="13" spans="5:16" ht="18.75" thickBot="1" x14ac:dyDescent="0.3">
      <c r="E13" s="577" t="s">
        <v>133</v>
      </c>
      <c r="F13" s="239">
        <v>16613653.33</v>
      </c>
      <c r="G13" s="286">
        <v>4153413.35</v>
      </c>
      <c r="H13" s="241">
        <f t="shared" si="0"/>
        <v>20767066.68</v>
      </c>
      <c r="I13" s="759"/>
      <c r="J13" s="239">
        <v>19770499</v>
      </c>
      <c r="K13" s="286">
        <v>4942625</v>
      </c>
      <c r="L13" s="241">
        <f t="shared" si="2"/>
        <v>24713124</v>
      </c>
    </row>
    <row r="14" spans="5:16" ht="18.75" thickBot="1" x14ac:dyDescent="0.3">
      <c r="E14" s="577" t="s">
        <v>136</v>
      </c>
      <c r="F14" s="239">
        <f>-10625726.75+115617786</f>
        <v>104992059.25</v>
      </c>
      <c r="G14" s="286">
        <v>26878810</v>
      </c>
      <c r="H14" s="241">
        <f t="shared" si="0"/>
        <v>131870869.25</v>
      </c>
      <c r="I14" s="759"/>
      <c r="J14" s="239">
        <v>108962193</v>
      </c>
      <c r="K14" s="286">
        <v>26190229.370000001</v>
      </c>
      <c r="L14" s="241">
        <f t="shared" si="2"/>
        <v>135152422.37</v>
      </c>
    </row>
    <row r="15" spans="5:16" ht="18.75" thickBot="1" x14ac:dyDescent="0.3">
      <c r="E15" s="577" t="s">
        <v>264</v>
      </c>
      <c r="F15" s="239">
        <f>20464414</f>
        <v>20464414</v>
      </c>
      <c r="G15" s="239">
        <v>4747865</v>
      </c>
      <c r="H15" s="241">
        <f t="shared" si="0"/>
        <v>25212279</v>
      </c>
      <c r="I15" s="759"/>
      <c r="J15" s="239"/>
      <c r="K15" s="239"/>
      <c r="L15" s="241"/>
    </row>
    <row r="16" spans="5:16" ht="18.75" thickBot="1" x14ac:dyDescent="0.3">
      <c r="E16" s="577" t="s">
        <v>265</v>
      </c>
      <c r="F16" s="239">
        <v>-1776636.32</v>
      </c>
      <c r="G16" s="239">
        <v>-6080508</v>
      </c>
      <c r="H16" s="241">
        <f t="shared" si="0"/>
        <v>-7857144.3200000003</v>
      </c>
      <c r="I16" s="759"/>
      <c r="J16" s="239"/>
      <c r="K16" s="239"/>
      <c r="L16" s="241"/>
    </row>
    <row r="17" spans="5:12" ht="36.75" thickBot="1" x14ac:dyDescent="0.3">
      <c r="E17" s="279" t="s">
        <v>339</v>
      </c>
      <c r="F17" s="239">
        <v>0</v>
      </c>
      <c r="G17" s="239">
        <v>295807</v>
      </c>
      <c r="H17" s="241">
        <f t="shared" si="0"/>
        <v>295807</v>
      </c>
      <c r="I17" s="759"/>
      <c r="J17" s="239"/>
      <c r="K17" s="239"/>
      <c r="L17" s="241" t="s">
        <v>13</v>
      </c>
    </row>
    <row r="18" spans="5:12" ht="18.75" thickBot="1" x14ac:dyDescent="0.3">
      <c r="E18" s="259" t="s">
        <v>289</v>
      </c>
      <c r="F18" s="246">
        <f t="shared" ref="F18:H18" si="3">SUM(F11:F17)</f>
        <v>164930780.25999999</v>
      </c>
      <c r="G18" s="246">
        <f t="shared" si="3"/>
        <v>34914000</v>
      </c>
      <c r="H18" s="246">
        <f t="shared" si="3"/>
        <v>199844780.25999999</v>
      </c>
      <c r="I18" s="246">
        <f t="shared" ref="I18:L18" si="4">SUM(I11:I17)</f>
        <v>0</v>
      </c>
      <c r="J18" s="246">
        <f t="shared" si="4"/>
        <v>144692565</v>
      </c>
      <c r="K18" s="246">
        <f t="shared" si="4"/>
        <v>34299667.670000002</v>
      </c>
      <c r="L18" s="246">
        <f t="shared" si="4"/>
        <v>178992232.67000002</v>
      </c>
    </row>
    <row r="19" spans="5:12" ht="15.75" x14ac:dyDescent="0.25">
      <c r="F19" s="5" t="s">
        <v>13</v>
      </c>
      <c r="G19" s="229" t="s">
        <v>13</v>
      </c>
    </row>
    <row r="20" spans="5:12" ht="15.75" thickBot="1" x14ac:dyDescent="0.25"/>
    <row r="21" spans="5:12" ht="18" x14ac:dyDescent="0.25">
      <c r="E21" s="248"/>
      <c r="F21" s="250">
        <v>2024</v>
      </c>
      <c r="G21" s="282">
        <f>F21</f>
        <v>2024</v>
      </c>
      <c r="H21" s="250">
        <f>F21</f>
        <v>2024</v>
      </c>
      <c r="I21" s="289"/>
      <c r="J21" s="250">
        <v>2025</v>
      </c>
      <c r="K21" s="282">
        <f>J21</f>
        <v>2025</v>
      </c>
      <c r="L21" s="250">
        <f>J21</f>
        <v>2025</v>
      </c>
    </row>
    <row r="22" spans="5:12" ht="36" x14ac:dyDescent="0.25">
      <c r="E22" s="252"/>
      <c r="F22" s="755" t="s">
        <v>169</v>
      </c>
      <c r="G22" s="757" t="s">
        <v>107</v>
      </c>
      <c r="H22" s="755" t="s">
        <v>338</v>
      </c>
      <c r="I22" s="291"/>
      <c r="J22" s="755" t="s">
        <v>169</v>
      </c>
      <c r="K22" s="757" t="s">
        <v>107</v>
      </c>
      <c r="L22" s="755" t="s">
        <v>338</v>
      </c>
    </row>
    <row r="23" spans="5:12" ht="36" x14ac:dyDescent="0.25">
      <c r="E23" s="755" t="s">
        <v>290</v>
      </c>
      <c r="F23" s="755" t="s">
        <v>121</v>
      </c>
      <c r="G23" s="757" t="s">
        <v>121</v>
      </c>
      <c r="H23" s="256" t="s">
        <v>9</v>
      </c>
      <c r="I23" s="291"/>
      <c r="J23" s="755" t="s">
        <v>121</v>
      </c>
      <c r="K23" s="757" t="s">
        <v>121</v>
      </c>
      <c r="L23" s="256" t="s">
        <v>9</v>
      </c>
    </row>
    <row r="24" spans="5:12" ht="18.75" thickBot="1" x14ac:dyDescent="0.3">
      <c r="E24" s="284"/>
      <c r="F24" s="285" t="s">
        <v>522</v>
      </c>
      <c r="G24" s="285" t="s">
        <v>522</v>
      </c>
      <c r="H24" s="285" t="s">
        <v>522</v>
      </c>
      <c r="I24" s="292"/>
      <c r="J24" s="285" t="s">
        <v>522</v>
      </c>
      <c r="K24" s="285" t="s">
        <v>522</v>
      </c>
      <c r="L24" s="285" t="s">
        <v>522</v>
      </c>
    </row>
    <row r="25" spans="5:12" ht="18.75" thickBot="1" x14ac:dyDescent="0.3">
      <c r="E25" s="857"/>
      <c r="F25" s="857"/>
      <c r="G25" s="857"/>
      <c r="H25" s="857"/>
      <c r="I25" s="857"/>
      <c r="J25" s="857"/>
      <c r="K25" s="857"/>
      <c r="L25" s="857"/>
    </row>
    <row r="26" spans="5:12" ht="18.75" thickBot="1" x14ac:dyDescent="0.3">
      <c r="E26" s="577" t="s">
        <v>416</v>
      </c>
      <c r="F26" s="239">
        <v>12757641</v>
      </c>
      <c r="G26" s="286">
        <v>2685761.64</v>
      </c>
      <c r="H26" s="241">
        <f t="shared" ref="H26:H28" si="5">SUM(F26,G26)</f>
        <v>15443402.640000001</v>
      </c>
      <c r="I26" s="265"/>
      <c r="J26" s="239">
        <v>12500000</v>
      </c>
      <c r="K26" s="286">
        <v>2669997</v>
      </c>
      <c r="L26" s="241">
        <f t="shared" ref="L26:L28" si="6">SUM(J26,K26)</f>
        <v>15169997</v>
      </c>
    </row>
    <row r="27" spans="5:12" ht="18.75" thickBot="1" x14ac:dyDescent="0.3">
      <c r="E27" s="577" t="s">
        <v>133</v>
      </c>
      <c r="F27" s="239">
        <v>20165909</v>
      </c>
      <c r="G27" s="286">
        <v>5041477</v>
      </c>
      <c r="H27" s="241">
        <f t="shared" si="5"/>
        <v>25207386</v>
      </c>
      <c r="I27" s="265"/>
      <c r="J27" s="239">
        <f>F27*1.02</f>
        <v>20569227.18</v>
      </c>
      <c r="K27" s="286">
        <v>5142307</v>
      </c>
      <c r="L27" s="241">
        <f t="shared" si="6"/>
        <v>25711534.18</v>
      </c>
    </row>
    <row r="28" spans="5:12" ht="18.75" thickBot="1" x14ac:dyDescent="0.3">
      <c r="E28" s="577" t="s">
        <v>136</v>
      </c>
      <c r="F28" s="239">
        <v>113569030</v>
      </c>
      <c r="G28" s="286">
        <v>25898853.27</v>
      </c>
      <c r="H28" s="241">
        <f t="shared" si="5"/>
        <v>139467883.27000001</v>
      </c>
      <c r="I28" s="265"/>
      <c r="J28" s="239">
        <v>113074546</v>
      </c>
      <c r="K28" s="286">
        <v>25613081</v>
      </c>
      <c r="L28" s="241">
        <f t="shared" si="6"/>
        <v>138687627</v>
      </c>
    </row>
    <row r="29" spans="5:12" ht="18.75" thickBot="1" x14ac:dyDescent="0.3">
      <c r="E29" s="259" t="s">
        <v>289</v>
      </c>
      <c r="F29" s="277">
        <f t="shared" ref="F29:L29" si="7">SUM(F26:F28)</f>
        <v>146492580</v>
      </c>
      <c r="G29" s="277">
        <f t="shared" si="7"/>
        <v>33626091.909999996</v>
      </c>
      <c r="H29" s="277">
        <f t="shared" si="7"/>
        <v>180118671.91000003</v>
      </c>
      <c r="I29" s="277">
        <f t="shared" si="7"/>
        <v>0</v>
      </c>
      <c r="J29" s="277">
        <f t="shared" si="7"/>
        <v>146143773.18000001</v>
      </c>
      <c r="K29" s="277">
        <f t="shared" si="7"/>
        <v>33425385</v>
      </c>
      <c r="L29" s="277">
        <f t="shared" si="7"/>
        <v>179569158.18000001</v>
      </c>
    </row>
    <row r="30" spans="5:12" x14ac:dyDescent="0.2">
      <c r="J30" s="5" t="s">
        <v>13</v>
      </c>
    </row>
    <row r="31" spans="5:12" s="758" customFormat="1" ht="18" x14ac:dyDescent="0.2">
      <c r="E31" s="909" t="s">
        <v>273</v>
      </c>
      <c r="F31" s="909"/>
      <c r="G31" s="909"/>
      <c r="H31" s="909"/>
      <c r="I31" s="909"/>
      <c r="J31" s="909"/>
      <c r="K31" s="909"/>
      <c r="L31" s="909"/>
    </row>
    <row r="32" spans="5:12" s="758" customFormat="1" ht="44.25" customHeight="1" x14ac:dyDescent="0.25">
      <c r="E32" s="910" t="s">
        <v>538</v>
      </c>
      <c r="F32" s="910"/>
      <c r="G32" s="910"/>
      <c r="H32" s="910"/>
      <c r="I32" s="910"/>
      <c r="J32" s="910"/>
      <c r="K32" s="910"/>
      <c r="L32" s="910"/>
    </row>
    <row r="33" spans="5:12" ht="16.5" customHeight="1" x14ac:dyDescent="0.2">
      <c r="F33" s="756"/>
      <c r="G33" s="756"/>
      <c r="H33" s="756"/>
      <c r="I33" s="756"/>
      <c r="J33" s="756"/>
      <c r="K33" s="756"/>
      <c r="L33" s="756"/>
    </row>
    <row r="34" spans="5:12" x14ac:dyDescent="0.2">
      <c r="E34" s="911"/>
      <c r="F34" s="911"/>
      <c r="G34" s="911"/>
      <c r="H34" s="911"/>
      <c r="I34" s="911"/>
      <c r="J34" s="911"/>
      <c r="K34" s="911"/>
      <c r="L34" s="911"/>
    </row>
    <row r="35" spans="5:12" x14ac:dyDescent="0.2">
      <c r="E35" s="911"/>
      <c r="F35" s="911"/>
      <c r="G35" s="911"/>
      <c r="H35" s="911"/>
      <c r="I35" s="911"/>
      <c r="J35" s="911"/>
      <c r="K35" s="911"/>
      <c r="L35" s="911"/>
    </row>
    <row r="39" spans="5:12" x14ac:dyDescent="0.2">
      <c r="E39" s="102"/>
      <c r="F39" s="103"/>
    </row>
    <row r="40" spans="5:12" x14ac:dyDescent="0.2">
      <c r="E40" s="102"/>
      <c r="F40" s="104"/>
    </row>
    <row r="41" spans="5:12" x14ac:dyDescent="0.2">
      <c r="E41" s="102"/>
      <c r="F41" s="103"/>
    </row>
    <row r="42" spans="5:12" x14ac:dyDescent="0.2">
      <c r="E42" s="102"/>
      <c r="F42" s="103"/>
    </row>
    <row r="43" spans="5:12" x14ac:dyDescent="0.2">
      <c r="F43" s="103"/>
    </row>
    <row r="44" spans="5:12" x14ac:dyDescent="0.2">
      <c r="F44" s="103"/>
    </row>
    <row r="45" spans="5:12" x14ac:dyDescent="0.2">
      <c r="E45" s="189"/>
      <c r="F45" s="190"/>
      <c r="G45" s="189"/>
      <c r="H45" s="214"/>
      <c r="I45" s="189"/>
      <c r="J45" s="189"/>
      <c r="K45" s="189"/>
      <c r="L45" s="191"/>
    </row>
    <row r="46" spans="5:12" x14ac:dyDescent="0.2">
      <c r="E46" s="189"/>
      <c r="F46" s="190"/>
      <c r="G46" s="189"/>
      <c r="H46" s="191"/>
      <c r="I46" s="189"/>
      <c r="J46" s="189"/>
      <c r="K46" s="189"/>
      <c r="L46" s="191"/>
    </row>
    <row r="47" spans="5:12" x14ac:dyDescent="0.2">
      <c r="E47" s="189"/>
      <c r="F47" s="190"/>
      <c r="G47" s="189"/>
      <c r="H47" s="191"/>
      <c r="I47" s="189"/>
      <c r="J47" s="189"/>
      <c r="K47" s="189"/>
      <c r="L47" s="191"/>
    </row>
    <row r="48" spans="5:12" x14ac:dyDescent="0.2">
      <c r="E48" s="189"/>
      <c r="F48" s="190"/>
      <c r="G48" s="189"/>
      <c r="H48" s="191"/>
      <c r="I48" s="189"/>
      <c r="J48" s="189"/>
      <c r="K48" s="189"/>
      <c r="L48" s="191"/>
    </row>
    <row r="49" spans="1:17" s="5" customFormat="1" x14ac:dyDescent="0.2">
      <c r="A49" s="2"/>
      <c r="B49" s="2"/>
      <c r="C49" s="2"/>
      <c r="D49" s="2"/>
      <c r="E49" s="2"/>
      <c r="F49" s="103"/>
      <c r="H49" s="78"/>
      <c r="I49" s="2"/>
      <c r="L49" s="78"/>
      <c r="M49" s="2"/>
      <c r="N49" s="2"/>
      <c r="O49" s="2"/>
      <c r="P49" s="2"/>
      <c r="Q49" s="2"/>
    </row>
    <row r="50" spans="1:17" s="5" customFormat="1" x14ac:dyDescent="0.2">
      <c r="A50" s="2"/>
      <c r="B50" s="2"/>
      <c r="C50" s="2"/>
      <c r="D50" s="2"/>
      <c r="E50" s="2"/>
      <c r="F50" s="103"/>
      <c r="H50" s="78"/>
      <c r="I50" s="2"/>
      <c r="L50" s="78"/>
      <c r="M50" s="2"/>
      <c r="N50" s="2"/>
      <c r="O50" s="2"/>
      <c r="P50" s="2"/>
      <c r="Q50" s="2"/>
    </row>
    <row r="58" spans="1:17" s="5" customFormat="1" hidden="1" x14ac:dyDescent="0.2">
      <c r="A58" s="2"/>
      <c r="B58" s="2"/>
      <c r="C58" s="2"/>
      <c r="D58" s="2"/>
      <c r="E58" s="2"/>
      <c r="H58" s="78"/>
      <c r="I58" s="2"/>
      <c r="L58" s="78"/>
      <c r="M58" s="2"/>
      <c r="N58" s="2"/>
      <c r="O58" s="2"/>
      <c r="P58" s="2"/>
      <c r="Q58" s="2"/>
    </row>
    <row r="59" spans="1:17" s="5" customFormat="1" hidden="1" x14ac:dyDescent="0.2">
      <c r="A59" s="2"/>
      <c r="B59" s="2"/>
      <c r="C59" s="2"/>
      <c r="D59" s="2"/>
      <c r="E59" s="2"/>
      <c r="H59" s="78"/>
      <c r="I59" s="2"/>
      <c r="L59" s="78"/>
      <c r="M59" s="2"/>
      <c r="N59" s="2"/>
      <c r="O59" s="2"/>
      <c r="P59" s="2"/>
      <c r="Q59" s="2"/>
    </row>
    <row r="60" spans="1:17" s="5" customFormat="1" hidden="1" x14ac:dyDescent="0.2">
      <c r="A60" s="2"/>
      <c r="B60" s="2"/>
      <c r="C60" s="2"/>
      <c r="D60" s="2"/>
      <c r="E60" s="2"/>
      <c r="H60" s="78"/>
      <c r="I60" s="2"/>
      <c r="L60" s="78"/>
      <c r="M60" s="2"/>
      <c r="N60" s="2"/>
      <c r="O60" s="2"/>
      <c r="P60" s="2"/>
      <c r="Q60" s="2"/>
    </row>
    <row r="61" spans="1:17" s="5" customFormat="1" hidden="1" x14ac:dyDescent="0.2">
      <c r="A61" s="2"/>
      <c r="B61" s="2"/>
      <c r="C61" s="2"/>
      <c r="D61" s="2"/>
      <c r="E61" s="2"/>
      <c r="H61" s="78"/>
      <c r="I61" s="2"/>
      <c r="L61" s="78"/>
      <c r="M61" s="2"/>
      <c r="N61" s="2"/>
      <c r="O61" s="2"/>
      <c r="P61" s="2"/>
      <c r="Q61" s="2"/>
    </row>
    <row r="62" spans="1:17" s="5" customFormat="1" hidden="1" x14ac:dyDescent="0.2">
      <c r="A62" s="2"/>
      <c r="B62" s="2"/>
      <c r="C62" s="2"/>
      <c r="D62" s="2"/>
      <c r="E62" s="2"/>
      <c r="H62" s="78"/>
      <c r="I62" s="2"/>
      <c r="L62" s="78"/>
      <c r="M62" s="2"/>
      <c r="N62" s="2"/>
      <c r="O62" s="2"/>
      <c r="P62" s="2"/>
      <c r="Q62" s="2"/>
    </row>
  </sheetData>
  <mergeCells count="10">
    <mergeCell ref="E25:L25"/>
    <mergeCell ref="E31:L31"/>
    <mergeCell ref="E32:L32"/>
    <mergeCell ref="E34:L35"/>
    <mergeCell ref="E2:L2"/>
    <mergeCell ref="E3:L3"/>
    <mergeCell ref="E4:L4"/>
    <mergeCell ref="F5:H5"/>
    <mergeCell ref="J5:L5"/>
    <mergeCell ref="E10:L10"/>
  </mergeCells>
  <printOptions horizontalCentered="1" verticalCentered="1"/>
  <pageMargins left="0.5" right="0.5" top="0.22" bottom="1.18" header="0.22" footer="0.23"/>
  <pageSetup scale="68" orientation="landscape"/>
  <headerFooter alignWithMargins="0">
    <oddFooter xml:space="preserve">&amp;C
&amp;R&amp;14
</oddFooter>
  </headerFooter>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9" tint="0.39997558519241921"/>
    <pageSetUpPr fitToPage="1"/>
  </sheetPr>
  <dimension ref="C2:P62"/>
  <sheetViews>
    <sheetView showGridLines="0" topLeftCell="E1" zoomScale="90" zoomScaleNormal="90" workbookViewId="0">
      <selection activeCell="G11" sqref="G11"/>
    </sheetView>
  </sheetViews>
  <sheetFormatPr defaultColWidth="9.140625" defaultRowHeight="15" x14ac:dyDescent="0.2"/>
  <cols>
    <col min="1" max="1" width="9.140625" style="2"/>
    <col min="2" max="2" width="1.7109375" style="2" customWidth="1"/>
    <col min="3" max="4" width="9.140625" style="2" hidden="1" customWidth="1"/>
    <col min="5" max="5" width="63" style="2" customWidth="1"/>
    <col min="6" max="6" width="21.7109375" style="5" bestFit="1" customWidth="1"/>
    <col min="7" max="7" width="18.85546875" style="5" bestFit="1" customWidth="1"/>
    <col min="8" max="8" width="21.7109375" style="78" bestFit="1" customWidth="1"/>
    <col min="9" max="9" width="0.85546875" style="2" hidden="1" customWidth="1"/>
    <col min="10" max="10" width="21.7109375" style="5" bestFit="1" customWidth="1"/>
    <col min="11" max="11" width="20.42578125" style="5" customWidth="1"/>
    <col min="12" max="12" width="21.7109375" style="78" bestFit="1" customWidth="1"/>
    <col min="13" max="13" width="1.5703125" style="2" customWidth="1"/>
    <col min="14" max="14" width="9.140625" style="2"/>
    <col min="15" max="17" width="12" style="2" bestFit="1" customWidth="1"/>
    <col min="18" max="16384" width="9.140625" style="2"/>
  </cols>
  <sheetData>
    <row r="2" spans="5:16" ht="23.25" x14ac:dyDescent="0.35">
      <c r="E2" s="869" t="s">
        <v>120</v>
      </c>
      <c r="F2" s="869"/>
      <c r="G2" s="869"/>
      <c r="H2" s="869"/>
      <c r="I2" s="869"/>
      <c r="J2" s="869"/>
      <c r="K2" s="869"/>
      <c r="L2" s="869"/>
      <c r="M2" s="86"/>
    </row>
    <row r="3" spans="5:16" ht="27.75" customHeight="1" x14ac:dyDescent="0.35">
      <c r="E3" s="912" t="s">
        <v>371</v>
      </c>
      <c r="F3" s="912"/>
      <c r="G3" s="912"/>
      <c r="H3" s="912"/>
      <c r="I3" s="912"/>
      <c r="J3" s="912"/>
      <c r="K3" s="912"/>
      <c r="L3" s="912"/>
      <c r="M3" s="86"/>
    </row>
    <row r="4" spans="5:16" ht="20.25" customHeight="1" x14ac:dyDescent="0.35">
      <c r="E4" s="913" t="s">
        <v>208</v>
      </c>
      <c r="F4" s="913"/>
      <c r="G4" s="913"/>
      <c r="H4" s="913"/>
      <c r="I4" s="913"/>
      <c r="J4" s="913"/>
      <c r="K4" s="913"/>
      <c r="L4" s="913"/>
      <c r="M4" s="86"/>
    </row>
    <row r="5" spans="5:16" ht="16.5" thickBot="1" x14ac:dyDescent="0.3">
      <c r="E5" s="79"/>
      <c r="F5" s="914"/>
      <c r="G5" s="914"/>
      <c r="H5" s="914"/>
      <c r="I5" s="112"/>
      <c r="J5" s="914"/>
      <c r="K5" s="914"/>
      <c r="L5" s="914"/>
    </row>
    <row r="6" spans="5:16" ht="18" x14ac:dyDescent="0.25">
      <c r="E6" s="248"/>
      <c r="F6" s="250">
        <v>2021</v>
      </c>
      <c r="G6" s="250">
        <v>2021</v>
      </c>
      <c r="H6" s="250">
        <v>2021</v>
      </c>
      <c r="I6" s="293"/>
      <c r="J6" s="250">
        <v>2022</v>
      </c>
      <c r="K6" s="250">
        <f>J6</f>
        <v>2022</v>
      </c>
      <c r="L6" s="250">
        <f>J6</f>
        <v>2022</v>
      </c>
    </row>
    <row r="7" spans="5:16" ht="36" x14ac:dyDescent="0.25">
      <c r="E7" s="252"/>
      <c r="F7" s="525" t="s">
        <v>169</v>
      </c>
      <c r="G7" s="256" t="s">
        <v>107</v>
      </c>
      <c r="H7" s="525" t="s">
        <v>170</v>
      </c>
      <c r="I7" s="252"/>
      <c r="J7" s="254" t="s">
        <v>169</v>
      </c>
      <c r="K7" s="256" t="s">
        <v>107</v>
      </c>
      <c r="L7" s="254" t="s">
        <v>170</v>
      </c>
    </row>
    <row r="8" spans="5:16" ht="36.75" x14ac:dyDescent="0.3">
      <c r="E8" s="254" t="s">
        <v>290</v>
      </c>
      <c r="F8" s="525" t="s">
        <v>121</v>
      </c>
      <c r="G8" s="256" t="s">
        <v>121</v>
      </c>
      <c r="H8" s="256" t="s">
        <v>9</v>
      </c>
      <c r="I8" s="252"/>
      <c r="J8" s="254" t="s">
        <v>121</v>
      </c>
      <c r="K8" s="256" t="s">
        <v>121</v>
      </c>
      <c r="L8" s="256" t="s">
        <v>9</v>
      </c>
      <c r="P8" s="12" t="s">
        <v>13</v>
      </c>
    </row>
    <row r="9" spans="5:16" ht="18.75" thickBot="1" x14ac:dyDescent="0.3">
      <c r="E9" s="284"/>
      <c r="F9" s="285" t="s">
        <v>486</v>
      </c>
      <c r="G9" s="285" t="s">
        <v>486</v>
      </c>
      <c r="H9" s="285" t="s">
        <v>486</v>
      </c>
      <c r="I9" s="284"/>
      <c r="J9" s="285" t="s">
        <v>487</v>
      </c>
      <c r="K9" s="285" t="s">
        <v>487</v>
      </c>
      <c r="L9" s="285" t="s">
        <v>487</v>
      </c>
    </row>
    <row r="10" spans="5:16" ht="16.5" thickBot="1" x14ac:dyDescent="0.3">
      <c r="E10" s="915"/>
      <c r="F10" s="915"/>
      <c r="G10" s="915"/>
      <c r="H10" s="915"/>
      <c r="I10" s="915"/>
      <c r="J10" s="915"/>
      <c r="K10" s="915"/>
      <c r="L10" s="915"/>
    </row>
    <row r="11" spans="5:16" ht="18.75" thickBot="1" x14ac:dyDescent="0.3">
      <c r="E11" s="238" t="s">
        <v>416</v>
      </c>
      <c r="F11" s="239">
        <v>28553206.989999998</v>
      </c>
      <c r="G11" s="286">
        <v>5529001</v>
      </c>
      <c r="H11" s="241">
        <f t="shared" ref="H11:H17" si="0">SUM(F11,G11)</f>
        <v>34082207.989999995</v>
      </c>
      <c r="I11" s="242"/>
      <c r="J11" s="239">
        <v>24637290</v>
      </c>
      <c r="K11" s="286">
        <f>4918612.65</f>
        <v>4918612.6500000004</v>
      </c>
      <c r="L11" s="241">
        <f t="shared" ref="L11:L17" si="1">SUM(J11,K11)</f>
        <v>29555902.649999999</v>
      </c>
    </row>
    <row r="12" spans="5:16" ht="18.75" thickBot="1" x14ac:dyDescent="0.3">
      <c r="E12" s="238" t="s">
        <v>122</v>
      </c>
      <c r="F12" s="239">
        <v>1208485.79</v>
      </c>
      <c r="G12" s="239">
        <v>304564</v>
      </c>
      <c r="H12" s="241">
        <f t="shared" si="0"/>
        <v>1513049.79</v>
      </c>
      <c r="I12" s="242"/>
      <c r="J12" s="239">
        <v>0</v>
      </c>
      <c r="K12" s="239">
        <v>0</v>
      </c>
      <c r="L12" s="241">
        <f t="shared" si="1"/>
        <v>0</v>
      </c>
    </row>
    <row r="13" spans="5:16" ht="18.75" thickBot="1" x14ac:dyDescent="0.3">
      <c r="E13" s="238" t="s">
        <v>133</v>
      </c>
      <c r="F13" s="239">
        <v>20572442.879999999</v>
      </c>
      <c r="G13" s="286">
        <v>5143111</v>
      </c>
      <c r="H13" s="241">
        <f t="shared" si="0"/>
        <v>25715553.879999999</v>
      </c>
      <c r="I13" s="242"/>
      <c r="J13" s="239">
        <v>16613653.33</v>
      </c>
      <c r="K13" s="286">
        <v>4153413.35</v>
      </c>
      <c r="L13" s="241">
        <f t="shared" si="1"/>
        <v>20767066.68</v>
      </c>
    </row>
    <row r="14" spans="5:16" ht="18.75" thickBot="1" x14ac:dyDescent="0.3">
      <c r="E14" s="238" t="s">
        <v>136</v>
      </c>
      <c r="F14" s="239">
        <f>98926439-238946+5124638</f>
        <v>103812131</v>
      </c>
      <c r="G14" s="286">
        <v>20861884</v>
      </c>
      <c r="H14" s="241">
        <f t="shared" si="0"/>
        <v>124674015</v>
      </c>
      <c r="I14" s="242"/>
      <c r="J14" s="239">
        <f>-10625726.75+115617786</f>
        <v>104992059.25</v>
      </c>
      <c r="K14" s="286">
        <v>26878810</v>
      </c>
      <c r="L14" s="241">
        <f t="shared" si="1"/>
        <v>131870869.25</v>
      </c>
    </row>
    <row r="15" spans="5:16" ht="18.75" thickBot="1" x14ac:dyDescent="0.3">
      <c r="E15" s="238" t="s">
        <v>264</v>
      </c>
      <c r="F15" s="239">
        <v>6286474</v>
      </c>
      <c r="G15" s="239">
        <v>510211</v>
      </c>
      <c r="H15" s="241">
        <f t="shared" si="0"/>
        <v>6796685</v>
      </c>
      <c r="I15" s="242"/>
      <c r="J15" s="239">
        <f>20464414</f>
        <v>20464414</v>
      </c>
      <c r="K15" s="239">
        <v>4747865</v>
      </c>
      <c r="L15" s="241">
        <f t="shared" si="1"/>
        <v>25212279</v>
      </c>
    </row>
    <row r="16" spans="5:16" ht="18.75" thickBot="1" x14ac:dyDescent="0.3">
      <c r="E16" s="238" t="s">
        <v>265</v>
      </c>
      <c r="F16" s="239">
        <f>21888465-615767+0.37</f>
        <v>21272698.370000001</v>
      </c>
      <c r="G16" s="239">
        <v>8610483</v>
      </c>
      <c r="H16" s="241">
        <f t="shared" si="0"/>
        <v>29883181.370000001</v>
      </c>
      <c r="I16" s="242"/>
      <c r="J16" s="239">
        <v>-1776636.32</v>
      </c>
      <c r="K16" s="239">
        <v>-6080508</v>
      </c>
      <c r="L16" s="241">
        <f t="shared" si="1"/>
        <v>-7857144.3200000003</v>
      </c>
    </row>
    <row r="17" spans="5:12" ht="36.75" thickBot="1" x14ac:dyDescent="0.3">
      <c r="E17" s="279" t="s">
        <v>339</v>
      </c>
      <c r="F17" s="239">
        <v>0</v>
      </c>
      <c r="G17" s="239">
        <v>754781</v>
      </c>
      <c r="H17" s="241">
        <f t="shared" si="0"/>
        <v>754781</v>
      </c>
      <c r="I17" s="242"/>
      <c r="J17" s="239">
        <v>0</v>
      </c>
      <c r="K17" s="239">
        <v>295807</v>
      </c>
      <c r="L17" s="241">
        <f t="shared" si="1"/>
        <v>295807</v>
      </c>
    </row>
    <row r="18" spans="5:12" ht="18.75" thickBot="1" x14ac:dyDescent="0.3">
      <c r="E18" s="259" t="s">
        <v>289</v>
      </c>
      <c r="F18" s="246">
        <f t="shared" ref="F18:L18" si="2">SUM(F11:F17)</f>
        <v>181705439.03</v>
      </c>
      <c r="G18" s="246">
        <f t="shared" si="2"/>
        <v>41714035</v>
      </c>
      <c r="H18" s="246">
        <f t="shared" si="2"/>
        <v>223419474.03</v>
      </c>
      <c r="I18" s="246">
        <f t="shared" si="2"/>
        <v>0</v>
      </c>
      <c r="J18" s="246">
        <f t="shared" si="2"/>
        <v>164930780.25999999</v>
      </c>
      <c r="K18" s="246">
        <f t="shared" si="2"/>
        <v>34914000</v>
      </c>
      <c r="L18" s="246">
        <f t="shared" si="2"/>
        <v>199844780.25999999</v>
      </c>
    </row>
    <row r="19" spans="5:12" ht="15.75" x14ac:dyDescent="0.25">
      <c r="F19" s="5" t="s">
        <v>13</v>
      </c>
      <c r="G19" s="229" t="s">
        <v>13</v>
      </c>
      <c r="J19" s="5" t="s">
        <v>13</v>
      </c>
    </row>
    <row r="20" spans="5:12" ht="15.75" thickBot="1" x14ac:dyDescent="0.25"/>
    <row r="21" spans="5:12" ht="18" x14ac:dyDescent="0.25">
      <c r="E21" s="248"/>
      <c r="F21" s="250">
        <v>2023</v>
      </c>
      <c r="G21" s="282">
        <f>F21</f>
        <v>2023</v>
      </c>
      <c r="H21" s="250">
        <f>F21</f>
        <v>2023</v>
      </c>
      <c r="I21" s="289"/>
      <c r="J21" s="250">
        <v>2024</v>
      </c>
      <c r="K21" s="282">
        <f>J21</f>
        <v>2024</v>
      </c>
      <c r="L21" s="250">
        <f>J21</f>
        <v>2024</v>
      </c>
    </row>
    <row r="22" spans="5:12" ht="36" x14ac:dyDescent="0.25">
      <c r="E22" s="252"/>
      <c r="F22" s="254" t="s">
        <v>169</v>
      </c>
      <c r="G22" s="283" t="s">
        <v>107</v>
      </c>
      <c r="H22" s="254" t="s">
        <v>338</v>
      </c>
      <c r="I22" s="291"/>
      <c r="J22" s="254" t="s">
        <v>169</v>
      </c>
      <c r="K22" s="283" t="s">
        <v>107</v>
      </c>
      <c r="L22" s="254" t="s">
        <v>338</v>
      </c>
    </row>
    <row r="23" spans="5:12" ht="36" x14ac:dyDescent="0.25">
      <c r="E23" s="254" t="s">
        <v>290</v>
      </c>
      <c r="F23" s="254" t="s">
        <v>121</v>
      </c>
      <c r="G23" s="283" t="s">
        <v>121</v>
      </c>
      <c r="H23" s="256" t="s">
        <v>9</v>
      </c>
      <c r="I23" s="291"/>
      <c r="J23" s="254" t="s">
        <v>121</v>
      </c>
      <c r="K23" s="283" t="s">
        <v>121</v>
      </c>
      <c r="L23" s="256" t="s">
        <v>9</v>
      </c>
    </row>
    <row r="24" spans="5:12" ht="18.75" thickBot="1" x14ac:dyDescent="0.3">
      <c r="E24" s="284"/>
      <c r="F24" s="285" t="s">
        <v>487</v>
      </c>
      <c r="G24" s="285" t="s">
        <v>487</v>
      </c>
      <c r="H24" s="285" t="s">
        <v>487</v>
      </c>
      <c r="I24" s="292"/>
      <c r="J24" s="285" t="s">
        <v>487</v>
      </c>
      <c r="K24" s="285" t="s">
        <v>487</v>
      </c>
      <c r="L24" s="285" t="s">
        <v>487</v>
      </c>
    </row>
    <row r="25" spans="5:12" ht="18.75" thickBot="1" x14ac:dyDescent="0.3">
      <c r="E25" s="857"/>
      <c r="F25" s="857"/>
      <c r="G25" s="857"/>
      <c r="H25" s="857"/>
      <c r="I25" s="857"/>
      <c r="J25" s="857"/>
      <c r="K25" s="857"/>
      <c r="L25" s="857"/>
    </row>
    <row r="26" spans="5:12" ht="18.75" thickBot="1" x14ac:dyDescent="0.3">
      <c r="E26" s="238" t="s">
        <v>416</v>
      </c>
      <c r="F26" s="239">
        <v>16091200</v>
      </c>
      <c r="G26" s="286">
        <v>3166813.3</v>
      </c>
      <c r="H26" s="241">
        <f t="shared" ref="H26:H28" si="3">SUM(F26,G26)</f>
        <v>19258013.300000001</v>
      </c>
      <c r="I26" s="242"/>
      <c r="J26" s="239">
        <v>12699130</v>
      </c>
      <c r="K26" s="286">
        <v>2685761.64</v>
      </c>
      <c r="L26" s="241">
        <f t="shared" ref="L26:L28" si="4">SUM(J26,K26)</f>
        <v>15384891.640000001</v>
      </c>
    </row>
    <row r="27" spans="5:12" ht="18.75" thickBot="1" x14ac:dyDescent="0.3">
      <c r="E27" s="238" t="s">
        <v>133</v>
      </c>
      <c r="F27" s="239">
        <v>14050435</v>
      </c>
      <c r="G27" s="286">
        <v>3512608.64</v>
      </c>
      <c r="H27" s="241">
        <f t="shared" si="3"/>
        <v>17563043.640000001</v>
      </c>
      <c r="I27" s="242"/>
      <c r="J27" s="239">
        <v>13504570</v>
      </c>
      <c r="K27" s="286">
        <v>3376142.61</v>
      </c>
      <c r="L27" s="241">
        <f t="shared" si="4"/>
        <v>16880712.609999999</v>
      </c>
    </row>
    <row r="28" spans="5:12" ht="18.75" thickBot="1" x14ac:dyDescent="0.3">
      <c r="E28" s="238" t="s">
        <v>136</v>
      </c>
      <c r="F28" s="239">
        <v>115373411</v>
      </c>
      <c r="G28" s="286">
        <v>26190229.370000001</v>
      </c>
      <c r="H28" s="241">
        <f t="shared" si="3"/>
        <v>141563640.37</v>
      </c>
      <c r="I28" s="242"/>
      <c r="J28" s="239">
        <v>115730093</v>
      </c>
      <c r="K28" s="286">
        <v>25898853.27</v>
      </c>
      <c r="L28" s="241">
        <f t="shared" si="4"/>
        <v>141628946.27000001</v>
      </c>
    </row>
    <row r="29" spans="5:12" ht="18.75" thickBot="1" x14ac:dyDescent="0.3">
      <c r="E29" s="259" t="s">
        <v>289</v>
      </c>
      <c r="F29" s="277">
        <f t="shared" ref="F29:L29" si="5">SUM(F26:F28)</f>
        <v>145515046</v>
      </c>
      <c r="G29" s="277">
        <f t="shared" si="5"/>
        <v>32869651.310000002</v>
      </c>
      <c r="H29" s="277">
        <f t="shared" si="5"/>
        <v>178384697.31</v>
      </c>
      <c r="I29" s="277">
        <f t="shared" si="5"/>
        <v>0</v>
      </c>
      <c r="J29" s="277">
        <f t="shared" si="5"/>
        <v>141933793</v>
      </c>
      <c r="K29" s="277">
        <f t="shared" si="5"/>
        <v>31960757.52</v>
      </c>
      <c r="L29" s="277">
        <f t="shared" si="5"/>
        <v>173894550.52000001</v>
      </c>
    </row>
    <row r="30" spans="5:12" x14ac:dyDescent="0.2">
      <c r="F30" s="5" t="s">
        <v>13</v>
      </c>
      <c r="J30" s="5" t="s">
        <v>13</v>
      </c>
    </row>
    <row r="31" spans="5:12" customFormat="1" ht="18" x14ac:dyDescent="0.2">
      <c r="E31" s="909" t="s">
        <v>273</v>
      </c>
      <c r="F31" s="909"/>
      <c r="G31" s="909"/>
      <c r="H31" s="909"/>
      <c r="I31" s="909"/>
      <c r="J31" s="909"/>
      <c r="K31" s="909"/>
      <c r="L31" s="909"/>
    </row>
    <row r="32" spans="5:12" customFormat="1" ht="44.25" customHeight="1" x14ac:dyDescent="0.25">
      <c r="E32" s="916" t="s">
        <v>417</v>
      </c>
      <c r="F32" s="916"/>
      <c r="G32" s="916"/>
      <c r="H32" s="916"/>
      <c r="I32" s="916"/>
      <c r="J32" s="916"/>
      <c r="K32" s="916"/>
      <c r="L32" s="916"/>
    </row>
    <row r="33" spans="5:12" ht="16.5" customHeight="1" x14ac:dyDescent="0.2">
      <c r="F33" s="188"/>
      <c r="G33" s="188"/>
      <c r="H33" s="188"/>
      <c r="I33" s="188"/>
      <c r="J33" s="188"/>
      <c r="K33" s="188"/>
      <c r="L33" s="188"/>
    </row>
    <row r="34" spans="5:12" x14ac:dyDescent="0.2">
      <c r="E34" s="911"/>
      <c r="F34" s="911"/>
      <c r="G34" s="911"/>
      <c r="H34" s="911"/>
      <c r="I34" s="911"/>
      <c r="J34" s="911"/>
      <c r="K34" s="911"/>
      <c r="L34" s="911"/>
    </row>
    <row r="35" spans="5:12" x14ac:dyDescent="0.2">
      <c r="E35" s="911"/>
      <c r="F35" s="911"/>
      <c r="G35" s="911"/>
      <c r="H35" s="911"/>
      <c r="I35" s="911"/>
      <c r="J35" s="911"/>
      <c r="K35" s="911"/>
      <c r="L35" s="911"/>
    </row>
    <row r="39" spans="5:12" x14ac:dyDescent="0.2">
      <c r="E39" s="102"/>
      <c r="F39" s="103"/>
    </row>
    <row r="40" spans="5:12" x14ac:dyDescent="0.2">
      <c r="E40" s="102"/>
      <c r="F40" s="104"/>
    </row>
    <row r="41" spans="5:12" x14ac:dyDescent="0.2">
      <c r="E41" s="102"/>
      <c r="F41" s="103"/>
    </row>
    <row r="42" spans="5:12" x14ac:dyDescent="0.2">
      <c r="E42" s="102"/>
      <c r="F42" s="103"/>
    </row>
    <row r="43" spans="5:12" x14ac:dyDescent="0.2">
      <c r="F43" s="103"/>
    </row>
    <row r="44" spans="5:12" x14ac:dyDescent="0.2">
      <c r="F44" s="103"/>
    </row>
    <row r="45" spans="5:12" x14ac:dyDescent="0.2">
      <c r="E45" s="189"/>
      <c r="F45" s="190"/>
      <c r="G45" s="189"/>
      <c r="H45" s="214"/>
      <c r="I45" s="189"/>
      <c r="J45" s="189"/>
      <c r="K45" s="189"/>
      <c r="L45" s="191"/>
    </row>
    <row r="46" spans="5:12" x14ac:dyDescent="0.2">
      <c r="E46" s="189"/>
      <c r="F46" s="190"/>
      <c r="G46" s="189"/>
      <c r="H46" s="191"/>
      <c r="I46" s="189"/>
      <c r="J46" s="189"/>
      <c r="K46" s="189"/>
      <c r="L46" s="191"/>
    </row>
    <row r="47" spans="5:12" x14ac:dyDescent="0.2">
      <c r="E47" s="189"/>
      <c r="F47" s="190"/>
      <c r="G47" s="189"/>
      <c r="H47" s="191"/>
      <c r="I47" s="189"/>
      <c r="J47" s="189"/>
      <c r="K47" s="189"/>
      <c r="L47" s="191"/>
    </row>
    <row r="48" spans="5:12" x14ac:dyDescent="0.2">
      <c r="E48" s="189"/>
      <c r="F48" s="190"/>
      <c r="G48" s="189"/>
      <c r="H48" s="191"/>
      <c r="I48" s="189"/>
      <c r="J48" s="189"/>
      <c r="K48" s="189"/>
      <c r="L48" s="191"/>
    </row>
    <row r="49" spans="6:6" x14ac:dyDescent="0.2">
      <c r="F49" s="103"/>
    </row>
    <row r="50" spans="6:6" x14ac:dyDescent="0.2">
      <c r="F50" s="103"/>
    </row>
    <row r="58" spans="6:6" hidden="1" x14ac:dyDescent="0.2"/>
    <row r="59" spans="6:6" hidden="1" x14ac:dyDescent="0.2"/>
    <row r="60" spans="6:6" hidden="1" x14ac:dyDescent="0.2"/>
    <row r="61" spans="6:6" hidden="1" x14ac:dyDescent="0.2"/>
    <row r="62" spans="6:6" hidden="1" x14ac:dyDescent="0.2"/>
  </sheetData>
  <mergeCells count="10">
    <mergeCell ref="E34:L35"/>
    <mergeCell ref="E32:L32"/>
    <mergeCell ref="F5:H5"/>
    <mergeCell ref="J5:L5"/>
    <mergeCell ref="E2:L2"/>
    <mergeCell ref="E3:L3"/>
    <mergeCell ref="E4:L4"/>
    <mergeCell ref="E31:L31"/>
    <mergeCell ref="E10:L10"/>
    <mergeCell ref="E25:L25"/>
  </mergeCells>
  <phoneticPr fontId="11" type="noConversion"/>
  <printOptions horizontalCentered="1" verticalCentered="1"/>
  <pageMargins left="0.5" right="0.5" top="0.22" bottom="1.18" header="0.22" footer="0.23"/>
  <pageSetup scale="68" orientation="landscape"/>
  <headerFooter alignWithMargins="0">
    <oddFooter xml:space="preserve">&amp;C
&amp;R&amp;14
</oddFooter>
  </headerFooter>
  <colBreaks count="1" manualBreakCount="1">
    <brk id="12" max="1048575" man="1"/>
  </colBreaks>
  <ignoredErrors>
    <ignoredError sqref="I9 I24"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9" tint="0.39997558519241921"/>
    <pageSetUpPr fitToPage="1"/>
  </sheetPr>
  <dimension ref="A1:AN796"/>
  <sheetViews>
    <sheetView showGridLines="0" topLeftCell="D1" zoomScale="80" zoomScaleNormal="80" workbookViewId="0">
      <pane ySplit="8" topLeftCell="A39" activePane="bottomLeft" state="frozen"/>
      <selection activeCell="B1" sqref="B1"/>
      <selection pane="bottomLeft" activeCell="Q39" sqref="Q39"/>
    </sheetView>
  </sheetViews>
  <sheetFormatPr defaultRowHeight="12.75" x14ac:dyDescent="0.2"/>
  <cols>
    <col min="1" max="3" width="4.5703125" hidden="1" customWidth="1"/>
    <col min="4" max="4" width="70.140625" style="108" customWidth="1"/>
    <col min="5" max="6" width="20.5703125" style="4" hidden="1" customWidth="1"/>
    <col min="7" max="7" width="20.5703125" style="4" bestFit="1" customWidth="1"/>
    <col min="8" max="9" width="20.5703125" style="4" hidden="1" customWidth="1"/>
    <col min="10" max="10" width="20.5703125" style="4" bestFit="1" customWidth="1"/>
    <col min="11" max="13" width="20.5703125" style="4" hidden="1" customWidth="1"/>
    <col min="14" max="14" width="20.5703125" style="4" bestFit="1" customWidth="1"/>
    <col min="15" max="16" width="20.5703125" style="4" hidden="1" customWidth="1"/>
    <col min="17" max="18" width="20.5703125" style="4" bestFit="1" customWidth="1"/>
    <col min="19" max="19" width="20.5703125" style="4" customWidth="1"/>
    <col min="20" max="23" width="15.85546875" style="765" customWidth="1"/>
    <col min="24" max="24" width="24.5703125" bestFit="1" customWidth="1"/>
    <col min="25" max="25" width="10.140625" customWidth="1"/>
    <col min="26" max="26" width="8.7109375" customWidth="1"/>
    <col min="27" max="27" width="16.42578125" customWidth="1"/>
    <col min="28" max="28" width="7.7109375" customWidth="1"/>
    <col min="29" max="29" width="10.5703125" customWidth="1"/>
    <col min="30" max="30" width="14.28515625" customWidth="1"/>
    <col min="31" max="31" width="15.28515625" customWidth="1"/>
    <col min="32" max="32" width="13.42578125" customWidth="1"/>
    <col min="33" max="33" width="13.85546875" customWidth="1"/>
    <col min="34" max="34" width="16.140625" customWidth="1"/>
    <col min="35" max="35" width="17.28515625" customWidth="1"/>
    <col min="36" max="36" width="19.5703125" customWidth="1"/>
    <col min="37" max="37" width="20.85546875" customWidth="1"/>
    <col min="38" max="38" width="14" customWidth="1"/>
    <col min="39" max="40" width="12.42578125" customWidth="1"/>
    <col min="41" max="42" width="9.140625" customWidth="1"/>
  </cols>
  <sheetData>
    <row r="1" spans="1:40" x14ac:dyDescent="0.2">
      <c r="D1" s="13"/>
      <c r="G1" s="544"/>
      <c r="J1" s="544"/>
      <c r="M1" s="544"/>
      <c r="N1" s="544"/>
      <c r="P1" s="544"/>
      <c r="Q1" s="544"/>
      <c r="R1" s="544"/>
      <c r="S1" s="544"/>
    </row>
    <row r="2" spans="1:40" ht="27.75" customHeight="1" x14ac:dyDescent="0.35">
      <c r="A2" s="4"/>
      <c r="B2" s="4"/>
      <c r="C2" s="4"/>
      <c r="D2" s="869" t="s">
        <v>11</v>
      </c>
      <c r="E2" s="919"/>
      <c r="F2" s="919"/>
      <c r="G2" s="919"/>
      <c r="H2" s="919"/>
      <c r="I2" s="919"/>
      <c r="J2" s="919"/>
      <c r="K2" s="919"/>
      <c r="L2" s="919"/>
      <c r="M2" s="919"/>
      <c r="N2" s="919"/>
      <c r="O2" s="919"/>
      <c r="P2" s="919"/>
      <c r="Q2" s="761"/>
      <c r="R2" s="761"/>
      <c r="S2" s="761"/>
    </row>
    <row r="3" spans="1:40" ht="42" customHeight="1" thickBot="1" x14ac:dyDescent="0.4">
      <c r="A3" s="4"/>
      <c r="B3" s="4"/>
      <c r="C3" s="4"/>
      <c r="D3" s="920" t="s">
        <v>527</v>
      </c>
      <c r="E3" s="921"/>
      <c r="F3" s="921"/>
      <c r="G3" s="921"/>
      <c r="H3" s="921"/>
      <c r="I3" s="921"/>
      <c r="J3" s="921"/>
      <c r="K3" s="921"/>
      <c r="L3" s="921"/>
      <c r="M3" s="921"/>
      <c r="N3" s="921"/>
      <c r="O3" s="921"/>
      <c r="P3" s="921"/>
      <c r="Q3" s="771"/>
      <c r="R3" s="771"/>
      <c r="S3" s="771"/>
    </row>
    <row r="4" spans="1:40" s="9" customFormat="1" ht="18" x14ac:dyDescent="0.25">
      <c r="A4" s="8"/>
      <c r="B4" s="8"/>
      <c r="C4" s="8"/>
      <c r="D4" s="250"/>
      <c r="E4" s="250">
        <v>2020</v>
      </c>
      <c r="F4" s="250">
        <v>2021</v>
      </c>
      <c r="G4" s="250">
        <v>2021</v>
      </c>
      <c r="H4" s="250">
        <v>2022</v>
      </c>
      <c r="I4" s="250">
        <v>2022</v>
      </c>
      <c r="J4" s="250">
        <v>2022</v>
      </c>
      <c r="K4" s="250">
        <v>2023</v>
      </c>
      <c r="L4" s="250">
        <v>2023</v>
      </c>
      <c r="M4" s="250">
        <v>2023</v>
      </c>
      <c r="N4" s="250">
        <v>2023</v>
      </c>
      <c r="O4" s="250">
        <v>2024</v>
      </c>
      <c r="P4" s="250">
        <v>2024</v>
      </c>
      <c r="Q4" s="250">
        <v>2024</v>
      </c>
      <c r="R4" s="250">
        <v>2025</v>
      </c>
      <c r="S4" s="781"/>
    </row>
    <row r="5" spans="1:40" ht="26.25" customHeight="1" x14ac:dyDescent="0.25">
      <c r="A5" s="15"/>
      <c r="B5" s="15"/>
      <c r="C5" s="15"/>
      <c r="D5" s="301"/>
      <c r="E5" s="256" t="s">
        <v>179</v>
      </c>
      <c r="F5" s="256" t="s">
        <v>179</v>
      </c>
      <c r="G5" s="256" t="s">
        <v>179</v>
      </c>
      <c r="H5" s="256" t="s">
        <v>179</v>
      </c>
      <c r="I5" s="256" t="s">
        <v>179</v>
      </c>
      <c r="J5" s="256" t="s">
        <v>179</v>
      </c>
      <c r="K5" s="256" t="s">
        <v>179</v>
      </c>
      <c r="L5" s="256" t="s">
        <v>179</v>
      </c>
      <c r="M5" s="256" t="s">
        <v>179</v>
      </c>
      <c r="N5" s="256" t="s">
        <v>179</v>
      </c>
      <c r="O5" s="256" t="s">
        <v>179</v>
      </c>
      <c r="P5" s="256" t="s">
        <v>179</v>
      </c>
      <c r="Q5" s="256" t="s">
        <v>179</v>
      </c>
      <c r="R5" s="256" t="s">
        <v>179</v>
      </c>
      <c r="S5" s="290"/>
      <c r="Y5" s="283" t="s">
        <v>378</v>
      </c>
    </row>
    <row r="6" spans="1:40" ht="33" customHeight="1" x14ac:dyDescent="0.25">
      <c r="A6" s="15"/>
      <c r="B6" s="15"/>
      <c r="C6" s="15"/>
      <c r="D6" s="855" t="s">
        <v>293</v>
      </c>
      <c r="E6" s="256" t="s">
        <v>98</v>
      </c>
      <c r="F6" s="256" t="s">
        <v>191</v>
      </c>
      <c r="G6" s="256" t="s">
        <v>98</v>
      </c>
      <c r="H6" s="256" t="s">
        <v>191</v>
      </c>
      <c r="I6" s="256" t="s">
        <v>191</v>
      </c>
      <c r="J6" s="256" t="s">
        <v>191</v>
      </c>
      <c r="K6" s="256" t="s">
        <v>191</v>
      </c>
      <c r="L6" s="256" t="s">
        <v>191</v>
      </c>
      <c r="M6" s="256" t="s">
        <v>191</v>
      </c>
      <c r="N6" s="256" t="s">
        <v>191</v>
      </c>
      <c r="O6" s="256" t="s">
        <v>191</v>
      </c>
      <c r="P6" s="256" t="s">
        <v>191</v>
      </c>
      <c r="Q6" s="256" t="s">
        <v>191</v>
      </c>
      <c r="R6" s="256" t="s">
        <v>191</v>
      </c>
      <c r="S6" s="290"/>
      <c r="Y6" s="917" t="s">
        <v>379</v>
      </c>
      <c r="Z6" s="918"/>
      <c r="AA6" s="918"/>
      <c r="AC6" s="917" t="s">
        <v>389</v>
      </c>
      <c r="AD6" s="918"/>
      <c r="AE6" s="918"/>
      <c r="AG6" s="917" t="s">
        <v>390</v>
      </c>
      <c r="AH6" s="918"/>
      <c r="AI6" s="918"/>
    </row>
    <row r="7" spans="1:40" ht="24.75" customHeight="1" x14ac:dyDescent="0.25">
      <c r="A7" s="15"/>
      <c r="B7" s="15"/>
      <c r="C7" s="15"/>
      <c r="D7" s="855"/>
      <c r="E7" s="256" t="s">
        <v>263</v>
      </c>
      <c r="F7" s="256" t="s">
        <v>10</v>
      </c>
      <c r="G7" s="256" t="s">
        <v>263</v>
      </c>
      <c r="H7" s="256" t="s">
        <v>10</v>
      </c>
      <c r="I7" s="256" t="s">
        <v>10</v>
      </c>
      <c r="J7" s="256" t="s">
        <v>10</v>
      </c>
      <c r="K7" s="256" t="s">
        <v>10</v>
      </c>
      <c r="L7" s="256" t="s">
        <v>10</v>
      </c>
      <c r="M7" s="256" t="s">
        <v>10</v>
      </c>
      <c r="N7" s="256" t="s">
        <v>10</v>
      </c>
      <c r="O7" s="256" t="s">
        <v>10</v>
      </c>
      <c r="P7" s="256" t="s">
        <v>10</v>
      </c>
      <c r="Q7" s="256" t="s">
        <v>10</v>
      </c>
      <c r="R7" s="256" t="s">
        <v>10</v>
      </c>
      <c r="S7" s="290"/>
      <c r="AK7" s="171"/>
      <c r="AL7" s="14"/>
    </row>
    <row r="8" spans="1:40" ht="18.75" thickBot="1" x14ac:dyDescent="0.3">
      <c r="A8" s="15"/>
      <c r="B8" s="15"/>
      <c r="C8" s="15"/>
      <c r="D8" s="302"/>
      <c r="E8" s="303">
        <v>44196</v>
      </c>
      <c r="F8" s="303">
        <v>44256</v>
      </c>
      <c r="G8" s="303">
        <v>44561</v>
      </c>
      <c r="H8" s="303">
        <v>44256</v>
      </c>
      <c r="I8" s="303">
        <v>44501</v>
      </c>
      <c r="J8" s="303">
        <v>44621</v>
      </c>
      <c r="K8" s="303">
        <v>44256</v>
      </c>
      <c r="L8" s="303">
        <v>44501</v>
      </c>
      <c r="M8" s="303">
        <v>44621</v>
      </c>
      <c r="N8" s="303">
        <v>44866</v>
      </c>
      <c r="O8" s="303">
        <v>44501</v>
      </c>
      <c r="P8" s="303">
        <v>44621</v>
      </c>
      <c r="Q8" s="303">
        <v>44866</v>
      </c>
      <c r="R8" s="303">
        <v>44866</v>
      </c>
      <c r="S8" s="782"/>
      <c r="T8" s="156" t="s">
        <v>523</v>
      </c>
      <c r="U8" s="156" t="s">
        <v>524</v>
      </c>
      <c r="V8" s="156" t="s">
        <v>525</v>
      </c>
      <c r="W8" s="156" t="s">
        <v>526</v>
      </c>
      <c r="X8" s="156"/>
      <c r="Y8" s="545" t="s">
        <v>380</v>
      </c>
      <c r="Z8" s="545" t="s">
        <v>381</v>
      </c>
      <c r="AA8" s="157" t="s">
        <v>382</v>
      </c>
      <c r="AB8" s="157"/>
      <c r="AC8" s="545" t="s">
        <v>383</v>
      </c>
      <c r="AD8" s="545" t="s">
        <v>384</v>
      </c>
      <c r="AE8" s="157" t="s">
        <v>385</v>
      </c>
      <c r="AG8" s="545" t="s">
        <v>386</v>
      </c>
      <c r="AH8" s="545" t="s">
        <v>387</v>
      </c>
      <c r="AI8" s="157" t="s">
        <v>388</v>
      </c>
      <c r="AL8" s="171"/>
    </row>
    <row r="9" spans="1:40" ht="17.25" customHeight="1" thickBot="1" x14ac:dyDescent="0.3">
      <c r="A9" s="15"/>
      <c r="B9" s="15"/>
      <c r="C9" s="15"/>
      <c r="D9" s="857" t="s">
        <v>15</v>
      </c>
      <c r="E9" s="857"/>
      <c r="F9" s="857"/>
      <c r="G9" s="857"/>
      <c r="H9" s="857"/>
      <c r="I9" s="857"/>
      <c r="J9" s="857"/>
      <c r="K9" s="857"/>
      <c r="L9" s="857"/>
      <c r="M9" s="857"/>
      <c r="N9" s="857"/>
      <c r="O9" s="857"/>
      <c r="P9" s="857"/>
      <c r="Q9" s="571"/>
      <c r="R9" s="571"/>
      <c r="S9" s="571"/>
      <c r="T9" s="150"/>
      <c r="U9" s="150"/>
      <c r="V9" s="150"/>
      <c r="W9" s="150"/>
      <c r="X9" s="150"/>
      <c r="Y9" s="150"/>
      <c r="Z9" s="150"/>
      <c r="AA9" s="150"/>
      <c r="AB9" s="150"/>
      <c r="AC9" s="150"/>
      <c r="AD9" s="150"/>
      <c r="AE9" s="150"/>
      <c r="AF9" s="150"/>
      <c r="AG9" s="197"/>
      <c r="AI9" s="197"/>
      <c r="AJ9" s="150"/>
      <c r="AK9" s="150"/>
      <c r="AL9" s="150"/>
      <c r="AM9" s="150"/>
      <c r="AN9" s="150"/>
    </row>
    <row r="10" spans="1:40" ht="18.75" thickBot="1" x14ac:dyDescent="0.3">
      <c r="A10" s="379" t="s">
        <v>29</v>
      </c>
      <c r="B10" s="379"/>
      <c r="C10" s="379"/>
      <c r="D10" s="238" t="s">
        <v>153</v>
      </c>
      <c r="E10" s="305">
        <v>11189454.880000001</v>
      </c>
      <c r="F10" s="305">
        <v>6802282</v>
      </c>
      <c r="G10" s="305">
        <v>8656062</v>
      </c>
      <c r="H10" s="305">
        <v>4893973</v>
      </c>
      <c r="I10" s="305">
        <f>2500000+1658000</f>
        <v>4158000</v>
      </c>
      <c r="J10" s="305">
        <f>4158000</f>
        <v>4158000</v>
      </c>
      <c r="K10" s="305">
        <v>4489390</v>
      </c>
      <c r="L10" s="305">
        <f>2500000+1658000</f>
        <v>4158000</v>
      </c>
      <c r="M10" s="305">
        <f>2500000+1658000</f>
        <v>4158000</v>
      </c>
      <c r="N10" s="305">
        <f>2500000+1658000-600000</f>
        <v>3558000</v>
      </c>
      <c r="O10" s="305">
        <f>2500000+800000</f>
        <v>3300000</v>
      </c>
      <c r="P10" s="305">
        <f>2500000+800000</f>
        <v>3300000</v>
      </c>
      <c r="Q10" s="305">
        <f>2500000+800000</f>
        <v>3300000</v>
      </c>
      <c r="R10" s="305">
        <f>2500000+800000</f>
        <v>3300000</v>
      </c>
      <c r="S10" s="772"/>
      <c r="T10" s="77">
        <f>M10/M16</f>
        <v>7.2103978681763325E-2</v>
      </c>
      <c r="U10" s="77">
        <f>N10/N16</f>
        <v>6.1699364153370351E-2</v>
      </c>
      <c r="V10" s="77"/>
      <c r="W10" s="77"/>
      <c r="X10" s="77"/>
      <c r="Y10" s="228">
        <f t="shared" ref="Y10:Y15" si="0">J10/($J$16+$J$22)</f>
        <v>3.1063834957548584E-2</v>
      </c>
      <c r="Z10" s="228"/>
      <c r="AA10" s="77"/>
      <c r="AB10" s="37"/>
      <c r="AC10" s="228">
        <f t="shared" ref="AC10:AC15" si="1">M10/($M$16+$M$22)</f>
        <v>3.5480044591553482E-2</v>
      </c>
      <c r="AD10" s="70"/>
      <c r="AE10" s="70"/>
      <c r="AF10" s="168"/>
      <c r="AG10" s="228">
        <f t="shared" ref="AG10:AG15" si="2">P10/($P$16+$P$22)</f>
        <v>2.9152869973360036E-2</v>
      </c>
      <c r="AH10" s="179"/>
      <c r="AI10" s="178"/>
      <c r="AJ10" s="172"/>
      <c r="AK10" s="14"/>
      <c r="AL10" s="171"/>
      <c r="AM10" s="171"/>
      <c r="AN10" s="171"/>
    </row>
    <row r="11" spans="1:40" s="1" customFormat="1" ht="18.75" thickBot="1" x14ac:dyDescent="0.3">
      <c r="A11" s="379" t="s">
        <v>29</v>
      </c>
      <c r="B11" s="379"/>
      <c r="C11" s="379"/>
      <c r="D11" s="243" t="s">
        <v>115</v>
      </c>
      <c r="E11" s="305">
        <v>2717015.95</v>
      </c>
      <c r="F11" s="304">
        <f>2780422+238452</f>
        <v>3018874</v>
      </c>
      <c r="G11" s="304">
        <v>2965128</v>
      </c>
      <c r="H11" s="304">
        <v>2820669</v>
      </c>
      <c r="I11" s="304">
        <f>2820669+92093+873627</f>
        <v>3786389</v>
      </c>
      <c r="J11" s="304">
        <f>3786389+200000</f>
        <v>3986389</v>
      </c>
      <c r="K11" s="304">
        <v>2587485</v>
      </c>
      <c r="L11" s="304">
        <f>2587485+144720+873627-100000</f>
        <v>3505832</v>
      </c>
      <c r="M11" s="304">
        <f>2587485+144720+873627-100000</f>
        <v>3505832</v>
      </c>
      <c r="N11" s="304">
        <f>2587485+144720+873627-100000</f>
        <v>3505832</v>
      </c>
      <c r="O11" s="304">
        <f>2587485+41178+873627+196496-300000</f>
        <v>3398786</v>
      </c>
      <c r="P11" s="304">
        <f>2587485+41178+873627+196496-300000</f>
        <v>3398786</v>
      </c>
      <c r="Q11" s="304">
        <f>2587485+41178+873627+196496-300000+1400000*0.06</f>
        <v>3482786</v>
      </c>
      <c r="R11" s="304">
        <f>2587485+41178+873627+196496-300000+860000*0.06</f>
        <v>3450386</v>
      </c>
      <c r="S11" s="773"/>
      <c r="T11" s="77">
        <f>M11/M16</f>
        <v>6.0794717602175009E-2</v>
      </c>
      <c r="U11" s="77">
        <f>N11/N16</f>
        <v>6.0794717602175009E-2</v>
      </c>
      <c r="V11" s="77">
        <v>0.06</v>
      </c>
      <c r="W11" s="77">
        <v>0.06</v>
      </c>
      <c r="X11" s="193"/>
      <c r="Y11" s="228">
        <f t="shared" si="0"/>
        <v>2.9781753240160448E-2</v>
      </c>
      <c r="Z11" s="228"/>
      <c r="AA11" s="37"/>
      <c r="AB11" s="37"/>
      <c r="AC11" s="228">
        <f t="shared" si="1"/>
        <v>2.9915121618685696E-2</v>
      </c>
      <c r="AD11" s="228"/>
      <c r="AE11" s="37"/>
      <c r="AF11" s="168"/>
      <c r="AG11" s="228">
        <f t="shared" si="2"/>
        <v>3.0025565553114079E-2</v>
      </c>
      <c r="AH11" s="548"/>
      <c r="AI11" s="178"/>
      <c r="AJ11" s="172"/>
      <c r="AK11" s="206"/>
      <c r="AL11" s="208"/>
    </row>
    <row r="12" spans="1:40" s="1" customFormat="1" ht="18.75" thickBot="1" x14ac:dyDescent="0.3">
      <c r="A12" s="379" t="s">
        <v>29</v>
      </c>
      <c r="B12" s="379"/>
      <c r="C12" s="379"/>
      <c r="D12" s="243" t="s">
        <v>376</v>
      </c>
      <c r="E12" s="305">
        <v>20042757.780000001</v>
      </c>
      <c r="F12" s="305">
        <f>19332169.7+1657949</f>
        <v>20990118.699999999</v>
      </c>
      <c r="G12" s="305">
        <v>33889599</v>
      </c>
      <c r="H12" s="305">
        <v>19603217.699999999</v>
      </c>
      <c r="I12" s="305">
        <f>19603217.7+640036+71200+6092930-1-38400+1000000-2257928-2000000-2000000-300000+2000000-500000-349312</f>
        <v>21961742.699999999</v>
      </c>
      <c r="J12" s="305">
        <f>21961742.7+2900000-200000</f>
        <v>24661742.699999999</v>
      </c>
      <c r="K12" s="305">
        <v>17982622.699999999</v>
      </c>
      <c r="L12" s="305">
        <f>17982622.7+1005781-94431+6092930+509999-38400+1000000-599928-1658000-4000000-800000+100000+100000+1000000</f>
        <v>20600573.699999999</v>
      </c>
      <c r="M12" s="305">
        <f>17982622.7+1005781-94431+6092930+509999-38400+1000000-599928-1658000-4000000-800000+100000+100000+1000000</f>
        <v>20600573.699999999</v>
      </c>
      <c r="N12" s="305">
        <f>17982622.7+1005781-94431+6092930+509999-38400+1000000-599928-1658000-4000000-800000+100000+100000+1000000</f>
        <v>20600573.699999999</v>
      </c>
      <c r="O12" s="305">
        <f>17982622.7+286183-163297+6092930+1370421-38400-1000000-599928-800000-3500000-800000+300000+500000+1000000</f>
        <v>20630531.699999999</v>
      </c>
      <c r="P12" s="305">
        <f>17982622.7+286183-163297+6092930+1370421-38400-1000000-599928-800000-3500000-800000+300000+500000+1000000</f>
        <v>20630531.699999999</v>
      </c>
      <c r="Q12" s="305">
        <f>17982622.7+286183-163297+6092930+1370421-38400-1000000-599928-800000-3500000-800000+300000+500000+1000000+1400000*0.4</f>
        <v>21190531.699999999</v>
      </c>
      <c r="R12" s="305">
        <f>17982622.7+286183-163297+6092930+1370421-38400-1000000-599928-800000-3500000-800000+300000+500000+1000000+860000*0.4</f>
        <v>20974531.699999999</v>
      </c>
      <c r="S12" s="772"/>
      <c r="T12" s="77">
        <f>M12/M16</f>
        <v>0.35723504735375039</v>
      </c>
      <c r="U12" s="77">
        <f>N12/N16</f>
        <v>0.35723504735375039</v>
      </c>
      <c r="V12" s="77">
        <v>0.4</v>
      </c>
      <c r="W12" s="77">
        <v>0.4</v>
      </c>
      <c r="X12" s="194"/>
      <c r="Y12" s="228">
        <f t="shared" si="0"/>
        <v>0.18424442159651963</v>
      </c>
      <c r="Z12" s="228"/>
      <c r="AA12" s="37"/>
      <c r="AB12" s="37"/>
      <c r="AC12" s="228">
        <f t="shared" si="1"/>
        <v>0.17578385605761998</v>
      </c>
      <c r="AD12" s="228"/>
      <c r="AE12" s="37"/>
      <c r="AF12" s="168"/>
      <c r="AG12" s="228">
        <f t="shared" si="2"/>
        <v>0.18225430549435831</v>
      </c>
      <c r="AH12" s="548"/>
      <c r="AI12" s="178"/>
      <c r="AJ12" s="172"/>
      <c r="AK12" s="169"/>
      <c r="AL12" s="208"/>
    </row>
    <row r="13" spans="1:40" s="1" customFormat="1" ht="18.75" thickBot="1" x14ac:dyDescent="0.3">
      <c r="A13" s="379" t="s">
        <v>29</v>
      </c>
      <c r="B13" s="379"/>
      <c r="C13" s="379"/>
      <c r="D13" s="243" t="s">
        <v>520</v>
      </c>
      <c r="E13" s="304">
        <v>9702174.9299999997</v>
      </c>
      <c r="F13" s="304">
        <f>7298609+625937</f>
        <v>7924546</v>
      </c>
      <c r="G13" s="304">
        <v>12072073</v>
      </c>
      <c r="H13" s="304">
        <v>7413044</v>
      </c>
      <c r="I13" s="304">
        <f>7413044+2393973+320194+3037462-2000000+500000+2200000</f>
        <v>13864673</v>
      </c>
      <c r="J13" s="304">
        <f>13864673+1500000-900969</f>
        <v>14463704</v>
      </c>
      <c r="K13" s="304">
        <v>6800210</v>
      </c>
      <c r="L13" s="304">
        <f>6800210+1989390+491608+3037462-100000-1000000+2210000</f>
        <v>13428670</v>
      </c>
      <c r="M13" s="304">
        <f>6800210+1989390+491608+3037462-100000-1000000+2210000</f>
        <v>13428670</v>
      </c>
      <c r="N13" s="304">
        <f>6800210+1989390+491608+3037462-100000-1000000+2210000+500000</f>
        <v>13928670</v>
      </c>
      <c r="O13" s="304">
        <f>6800210+1989390+139881+3037462+683185-500000-1000000+2020500</f>
        <v>13170628</v>
      </c>
      <c r="P13" s="304">
        <f>6800210+1989390+139881+3037462+683185-500000-1000000+2020500</f>
        <v>13170628</v>
      </c>
      <c r="Q13" s="304">
        <f>6800210+1989390+139881+3037462+683185-500000-1000000+2020500+1400000*0.24</f>
        <v>13506628</v>
      </c>
      <c r="R13" s="304">
        <f>6800210+1989390+139881+3037462+683185-500000-1000000+2020500+860000*0.24</f>
        <v>13377028</v>
      </c>
      <c r="S13" s="773"/>
      <c r="T13" s="77">
        <f>M13/M16</f>
        <v>0.23286689163165816</v>
      </c>
      <c r="U13" s="77">
        <f>N13/N16</f>
        <v>0.24153740373865232</v>
      </c>
      <c r="V13" s="77">
        <v>0.24</v>
      </c>
      <c r="W13" s="77">
        <v>0.24</v>
      </c>
      <c r="X13" s="211"/>
      <c r="Y13" s="228">
        <f t="shared" si="0"/>
        <v>0.10805630445667035</v>
      </c>
      <c r="Z13" s="228"/>
      <c r="AA13" s="37"/>
      <c r="AB13" s="37"/>
      <c r="AC13" s="228">
        <f t="shared" si="1"/>
        <v>0.11458629398875816</v>
      </c>
      <c r="AD13" s="228"/>
      <c r="AE13" s="37"/>
      <c r="AF13" s="168"/>
      <c r="AG13" s="228">
        <f t="shared" si="2"/>
        <v>0.11635200168227119</v>
      </c>
      <c r="AH13" s="548"/>
      <c r="AI13" s="178"/>
      <c r="AJ13" s="172"/>
      <c r="AK13" s="204"/>
      <c r="AL13" s="171"/>
    </row>
    <row r="14" spans="1:40" ht="18.75" thickBot="1" x14ac:dyDescent="0.3">
      <c r="A14" s="15" t="s">
        <v>29</v>
      </c>
      <c r="B14" s="15"/>
      <c r="C14" s="15"/>
      <c r="D14" s="238" t="s">
        <v>276</v>
      </c>
      <c r="E14" s="305">
        <v>14316610.92</v>
      </c>
      <c r="F14" s="305">
        <f>15993930+1371658</f>
        <v>17365588</v>
      </c>
      <c r="G14" s="305">
        <v>19925766</v>
      </c>
      <c r="H14" s="305">
        <v>16118111</v>
      </c>
      <c r="I14" s="305">
        <f>16118111+526249+300000</f>
        <v>16944360</v>
      </c>
      <c r="J14" s="305">
        <f>16944360+1500000</f>
        <v>18444360</v>
      </c>
      <c r="K14" s="305">
        <v>14284692</v>
      </c>
      <c r="L14" s="305">
        <f>14284692+798953+800000</f>
        <v>15883645</v>
      </c>
      <c r="M14" s="305">
        <f>14284692+798953+800000</f>
        <v>15883645</v>
      </c>
      <c r="N14" s="305">
        <f>14284692+798953+800000+100000</f>
        <v>15983645</v>
      </c>
      <c r="O14" s="305">
        <f>14284692+227333+800000</f>
        <v>15312025</v>
      </c>
      <c r="P14" s="305">
        <f>14284692+227333+800000</f>
        <v>15312025</v>
      </c>
      <c r="Q14" s="305">
        <f>14284692+227333+800000+1400000*0.3</f>
        <v>15732025</v>
      </c>
      <c r="R14" s="305">
        <f>14284692+227333+800000+860000*0.3</f>
        <v>15570025</v>
      </c>
      <c r="S14" s="772"/>
      <c r="T14" s="785">
        <f>M14/M16</f>
        <v>0.27543867255139409</v>
      </c>
      <c r="U14" s="785">
        <f>N14/N16</f>
        <v>0.27717277497279291</v>
      </c>
      <c r="V14" s="785">
        <v>0.3</v>
      </c>
      <c r="W14" s="785">
        <v>0.3</v>
      </c>
      <c r="X14" s="195"/>
      <c r="Y14" s="228">
        <f t="shared" si="0"/>
        <v>0.13779522725772267</v>
      </c>
      <c r="Z14" s="228"/>
      <c r="AA14" s="37"/>
      <c r="AB14" s="37"/>
      <c r="AC14" s="228">
        <f t="shared" si="1"/>
        <v>0.13553449564127115</v>
      </c>
      <c r="AD14" s="228"/>
      <c r="AE14" s="37"/>
      <c r="AF14" s="168"/>
      <c r="AG14" s="228">
        <f t="shared" si="2"/>
        <v>0.13526953753146612</v>
      </c>
      <c r="AH14" s="548"/>
      <c r="AI14" s="178"/>
      <c r="AJ14" s="172"/>
      <c r="AK14" s="170"/>
      <c r="AL14" s="171"/>
      <c r="AN14" s="14"/>
    </row>
    <row r="15" spans="1:40" ht="18.75" thickBot="1" x14ac:dyDescent="0.3">
      <c r="A15" s="15" t="s">
        <v>29</v>
      </c>
      <c r="B15" s="15"/>
      <c r="C15" s="15"/>
      <c r="D15" s="238" t="s">
        <v>140</v>
      </c>
      <c r="E15" s="304">
        <v>0</v>
      </c>
      <c r="F15" s="304">
        <v>0</v>
      </c>
      <c r="G15" s="304">
        <v>0</v>
      </c>
      <c r="H15" s="304">
        <v>0</v>
      </c>
      <c r="I15" s="304">
        <v>90000</v>
      </c>
      <c r="J15" s="304">
        <f>90000</f>
        <v>90000</v>
      </c>
      <c r="K15" s="304">
        <v>0</v>
      </c>
      <c r="L15" s="304">
        <f t="shared" ref="L15:R15" si="3">90000</f>
        <v>90000</v>
      </c>
      <c r="M15" s="304">
        <f t="shared" si="3"/>
        <v>90000</v>
      </c>
      <c r="N15" s="304">
        <f t="shared" si="3"/>
        <v>90000</v>
      </c>
      <c r="O15" s="304">
        <f t="shared" si="3"/>
        <v>90000</v>
      </c>
      <c r="P15" s="304">
        <f t="shared" si="3"/>
        <v>90000</v>
      </c>
      <c r="Q15" s="304">
        <f t="shared" si="3"/>
        <v>90000</v>
      </c>
      <c r="R15" s="304">
        <f t="shared" si="3"/>
        <v>90000</v>
      </c>
      <c r="S15" s="773"/>
      <c r="T15" s="199">
        <f>M15/M16</f>
        <v>1.5606921792589465E-3</v>
      </c>
      <c r="U15" s="199">
        <f>N15/N16</f>
        <v>1.5606921792589465E-3</v>
      </c>
      <c r="V15" s="199"/>
      <c r="W15" s="199"/>
      <c r="X15" s="213"/>
      <c r="Y15" s="228">
        <f t="shared" si="0"/>
        <v>6.7237738003351913E-4</v>
      </c>
      <c r="Z15" s="228"/>
      <c r="AA15" s="37"/>
      <c r="AB15" s="76"/>
      <c r="AC15" s="228">
        <f t="shared" si="1"/>
        <v>7.6796633315050818E-4</v>
      </c>
      <c r="AD15" s="228"/>
      <c r="AE15" s="37"/>
      <c r="AF15" s="168"/>
      <c r="AG15" s="228">
        <f t="shared" si="2"/>
        <v>7.9507827200072832E-4</v>
      </c>
      <c r="AH15" s="228"/>
      <c r="AI15" s="203"/>
      <c r="AJ15" s="172"/>
      <c r="AK15" s="170"/>
      <c r="AL15" s="171"/>
    </row>
    <row r="16" spans="1:40" ht="18.75" thickBot="1" x14ac:dyDescent="0.3">
      <c r="A16" s="15"/>
      <c r="B16" s="15"/>
      <c r="C16" s="15"/>
      <c r="D16" s="245" t="s">
        <v>291</v>
      </c>
      <c r="E16" s="246">
        <f t="shared" ref="E16:P16" si="4">SUM(E10:E15)</f>
        <v>57968014.460000001</v>
      </c>
      <c r="F16" s="246">
        <f t="shared" ref="F16" si="5">SUM(F10:F15)</f>
        <v>56101408.700000003</v>
      </c>
      <c r="G16" s="246">
        <f t="shared" si="4"/>
        <v>77508628</v>
      </c>
      <c r="H16" s="246">
        <f>SUM(H10:H15)</f>
        <v>50849014.700000003</v>
      </c>
      <c r="I16" s="246">
        <f>SUM(I10:I15)</f>
        <v>60805164.700000003</v>
      </c>
      <c r="J16" s="246">
        <f>SUM(J10:J15)</f>
        <v>65804195.700000003</v>
      </c>
      <c r="K16" s="246">
        <f t="shared" ref="K16:M16" si="6">SUM(K10:K15)</f>
        <v>46144399.700000003</v>
      </c>
      <c r="L16" s="246">
        <f t="shared" ref="L16" si="7">SUM(L10:L15)</f>
        <v>57666720.700000003</v>
      </c>
      <c r="M16" s="246">
        <f t="shared" si="6"/>
        <v>57666720.700000003</v>
      </c>
      <c r="N16" s="246">
        <f t="shared" ref="N16" si="8">SUM(N10:N15)</f>
        <v>57666720.700000003</v>
      </c>
      <c r="O16" s="246">
        <f t="shared" ref="O16" si="9">SUM(O10:O15)</f>
        <v>55901970.700000003</v>
      </c>
      <c r="P16" s="246">
        <f t="shared" si="4"/>
        <v>55901970.700000003</v>
      </c>
      <c r="Q16" s="246">
        <f t="shared" ref="Q16:R16" si="10">SUM(Q10:Q15)</f>
        <v>57301970.700000003</v>
      </c>
      <c r="R16" s="246">
        <f t="shared" si="10"/>
        <v>56761970.700000003</v>
      </c>
      <c r="S16" s="774">
        <v>860000</v>
      </c>
      <c r="T16" s="198">
        <f>M16/(M16+M22)</f>
        <v>0.49206777823103903</v>
      </c>
      <c r="U16" s="198">
        <f>N16/(N16+N22)</f>
        <v>0.49326024243964911</v>
      </c>
      <c r="V16" s="198">
        <v>0.49081419195403081</v>
      </c>
      <c r="W16" s="198">
        <v>0.49081419195403081</v>
      </c>
      <c r="X16" s="546">
        <f>SUM(Y10:Y15)</f>
        <v>0.49161391888865519</v>
      </c>
      <c r="Y16" s="546"/>
      <c r="Z16" s="546"/>
      <c r="AA16" s="523"/>
      <c r="AB16" s="546">
        <f>SUM(AC10:AC15)</f>
        <v>0.49206777823103903</v>
      </c>
      <c r="AC16" s="228"/>
      <c r="AD16" s="228"/>
      <c r="AE16" s="37"/>
      <c r="AF16" s="546">
        <f>SUM(AG10:AG15)</f>
        <v>0.49384935850657047</v>
      </c>
      <c r="AG16" s="228"/>
      <c r="AH16" s="228"/>
      <c r="AI16" s="196"/>
      <c r="AJ16" s="173"/>
      <c r="AK16" s="174"/>
      <c r="AL16" s="175"/>
    </row>
    <row r="17" spans="1:38" ht="24.75" customHeight="1" thickBot="1" x14ac:dyDescent="0.3">
      <c r="A17" s="15"/>
      <c r="B17" s="15"/>
      <c r="C17" s="15"/>
      <c r="D17" s="858" t="s">
        <v>16</v>
      </c>
      <c r="E17" s="858"/>
      <c r="F17" s="858"/>
      <c r="G17" s="858"/>
      <c r="H17" s="858"/>
      <c r="I17" s="858"/>
      <c r="J17" s="858"/>
      <c r="K17" s="858"/>
      <c r="L17" s="858"/>
      <c r="M17" s="858"/>
      <c r="N17" s="858"/>
      <c r="O17" s="858"/>
      <c r="P17" s="858"/>
      <c r="Q17" s="572"/>
      <c r="R17" s="572"/>
      <c r="S17" s="572"/>
      <c r="T17" s="547"/>
      <c r="U17" s="547"/>
      <c r="V17" s="547"/>
      <c r="W17" s="547"/>
      <c r="X17" s="547"/>
      <c r="Y17" s="547"/>
      <c r="Z17" s="547"/>
      <c r="AA17" s="524"/>
      <c r="AB17" s="547"/>
      <c r="AC17" s="228"/>
      <c r="AD17" s="228"/>
      <c r="AE17" s="37"/>
      <c r="AF17" s="547"/>
      <c r="AG17" s="228"/>
      <c r="AH17" s="228"/>
      <c r="AI17" s="179"/>
      <c r="AJ17" s="205"/>
      <c r="AK17" s="170"/>
      <c r="AL17" s="171"/>
    </row>
    <row r="18" spans="1:38" ht="23.25" customHeight="1" thickBot="1" x14ac:dyDescent="0.3">
      <c r="A18" s="15" t="s">
        <v>30</v>
      </c>
      <c r="B18" s="15"/>
      <c r="C18" s="15"/>
      <c r="D18" s="238" t="s">
        <v>116</v>
      </c>
      <c r="E18" s="306">
        <v>12436628</v>
      </c>
      <c r="F18" s="305">
        <f>12375293.4752517+743296</f>
        <v>13118589.475251701</v>
      </c>
      <c r="G18" s="305">
        <v>10589867</v>
      </c>
      <c r="H18" s="305">
        <v>12789674.475251701</v>
      </c>
      <c r="I18" s="305">
        <f>12789674.4752517+707132+440664-1924205+1000000</f>
        <v>13013265.475251701</v>
      </c>
      <c r="J18" s="305">
        <f>13013265.4752517+500000</f>
        <v>13513265.475251701</v>
      </c>
      <c r="K18" s="305">
        <v>11732355.475251701</v>
      </c>
      <c r="L18" s="305">
        <f>11732355.4752517+656199-1924205+1030000</f>
        <v>11494349.475251701</v>
      </c>
      <c r="M18" s="305">
        <f>11732355.4752517+656199-1924205+1030000</f>
        <v>11494349.475251701</v>
      </c>
      <c r="N18" s="305">
        <f>11732355.4752517+656199-1924205+1030000</f>
        <v>11494349.475251701</v>
      </c>
      <c r="O18" s="305">
        <f>11732355.4752517+186714-1924205-432792+1060900</f>
        <v>10622972.475251701</v>
      </c>
      <c r="P18" s="305">
        <f>11732355.4752517+186714-1924205-432792+1060900</f>
        <v>10622972.475251701</v>
      </c>
      <c r="Q18" s="305">
        <f>11732355.4752517+186714-1924205-432792+1060900+1542561*0.18</f>
        <v>10900633.455251701</v>
      </c>
      <c r="R18" s="305">
        <f>11732355.4752517+186714-1924205-432792+1060900+889159*0.18</f>
        <v>10783021.0952517</v>
      </c>
      <c r="S18" s="772"/>
      <c r="T18" s="547">
        <f>M18/M22</f>
        <v>0.19309823546747645</v>
      </c>
      <c r="U18" s="547">
        <f>N18/N22</f>
        <v>0.19402168624497812</v>
      </c>
      <c r="V18" s="547">
        <v>0.18317228340291017</v>
      </c>
      <c r="W18" s="547">
        <v>0.18317228340291017</v>
      </c>
      <c r="X18" s="547"/>
      <c r="Y18" s="228">
        <f>J18/($J$16+$J$22)</f>
        <v>0.10095571151052385</v>
      </c>
      <c r="Z18" s="228"/>
      <c r="AA18" s="37"/>
      <c r="AB18" s="547"/>
      <c r="AC18" s="228">
        <f>M18/($M$16+$M$22)</f>
        <v>9.80808157606613E-2</v>
      </c>
      <c r="AD18" s="228"/>
      <c r="AE18" s="37"/>
      <c r="AF18" s="547"/>
      <c r="AG18" s="228">
        <f>P18/($P$16+$P$22)</f>
        <v>9.3845495545938018E-2</v>
      </c>
      <c r="AH18" s="548"/>
      <c r="AI18" s="178"/>
      <c r="AJ18" s="172"/>
      <c r="AK18" s="170"/>
      <c r="AL18" s="171"/>
    </row>
    <row r="19" spans="1:38" ht="23.25" customHeight="1" thickBot="1" x14ac:dyDescent="0.3">
      <c r="A19" s="15" t="s">
        <v>30</v>
      </c>
      <c r="B19" s="15"/>
      <c r="C19" s="15"/>
      <c r="D19" s="238" t="s">
        <v>17</v>
      </c>
      <c r="E19" s="306">
        <v>45020584</v>
      </c>
      <c r="F19" s="305">
        <f>38016073.6236656+2283356+1</f>
        <v>40299430.623665601</v>
      </c>
      <c r="G19" s="305">
        <v>37034760</v>
      </c>
      <c r="H19" s="305">
        <v>38159950.623665601</v>
      </c>
      <c r="I19" s="305">
        <f>38159950.6236656+707132+1268992-931867-5412528-38400-1000000-1000000+2000000+2000000-70517-349312</f>
        <v>35333450.623665601</v>
      </c>
      <c r="J19" s="305">
        <f>35333450.6236656+1500000</f>
        <v>36833450.623665601</v>
      </c>
      <c r="K19" s="305">
        <v>35294350.623665601</v>
      </c>
      <c r="L19" s="305">
        <f>35294350.6236656+1974038-973867-5412528+489999-38400-1000000-1000000-200000+4000000-70517-659188</f>
        <v>32403887.623665601</v>
      </c>
      <c r="M19" s="305">
        <f>35294350.6236656+1974038-973867-5412528+489999-38400-1000000-1000000-200000+4000000-70517-659188</f>
        <v>32403887.623665601</v>
      </c>
      <c r="N19" s="305">
        <f>35294350.6236656+1974038-973867-5412528+489999-38400-1000000-1000000-200000+4000000-70517-659188+500000</f>
        <v>32903887.623665601</v>
      </c>
      <c r="O19" s="305">
        <f>35294350.6236656+561689-1001716-5412528-1217385-38400+600000+3500000-70517-642869</f>
        <v>31572624.623665601</v>
      </c>
      <c r="P19" s="305">
        <f>35294350.6236656+561689-1001716-5412528-1217385-38400+600000+3500000-70517-642869</f>
        <v>31572624.623665601</v>
      </c>
      <c r="Q19" s="305">
        <f>35294350.6236656+561689-1001716-5412528-1217385-38400+600000+3500000-70517-642869+500000+1542561*0.55</f>
        <v>32921033.173665602</v>
      </c>
      <c r="R19" s="305">
        <f>35294350.6236656+561689-1001716-5412528-1217385-38400+600000+3500000-70517-642869+500000+889159*0.55</f>
        <v>32561662.0736656</v>
      </c>
      <c r="S19" s="772"/>
      <c r="T19" s="547">
        <f>M19/M22</f>
        <v>0.54436604140916023</v>
      </c>
      <c r="U19" s="547">
        <f>N19/N22</f>
        <v>0.5554092273342045</v>
      </c>
      <c r="V19" s="547">
        <v>0.55302938049851558</v>
      </c>
      <c r="W19" s="547">
        <v>0.55302938049851558</v>
      </c>
      <c r="X19" s="547"/>
      <c r="Y19" s="228">
        <f>J19/($J$16+$J$22)</f>
        <v>0.2751775447548252</v>
      </c>
      <c r="Z19" s="228"/>
      <c r="AA19" s="37"/>
      <c r="AB19" s="547"/>
      <c r="AC19" s="228">
        <f>M19/($M$16+$M$22)</f>
        <v>0.276501052868529</v>
      </c>
      <c r="AD19" s="228"/>
      <c r="AE19" s="37"/>
      <c r="AF19" s="547"/>
      <c r="AG19" s="228">
        <f>P19/($P$16+$P$22)</f>
        <v>0.27891897587012987</v>
      </c>
      <c r="AH19" s="548"/>
      <c r="AI19" s="178"/>
      <c r="AJ19" s="172"/>
      <c r="AK19" s="170"/>
      <c r="AL19" s="77"/>
    </row>
    <row r="20" spans="1:38" ht="36.75" thickBot="1" x14ac:dyDescent="0.3">
      <c r="A20" s="15" t="s">
        <v>30</v>
      </c>
      <c r="B20" s="15"/>
      <c r="C20" s="15"/>
      <c r="D20" s="279" t="s">
        <v>391</v>
      </c>
      <c r="E20" s="306">
        <v>969960</v>
      </c>
      <c r="F20" s="305">
        <f>3550273.74127453+213240</f>
        <v>3763513.7412745301</v>
      </c>
      <c r="G20" s="305">
        <v>842631</v>
      </c>
      <c r="H20" s="305">
        <v>3511996.7412745301</v>
      </c>
      <c r="I20" s="305">
        <f>3511996.74127453+114665-500696</f>
        <v>3125965.7412745301</v>
      </c>
      <c r="J20" s="305">
        <f>3125965.74127453+50000</f>
        <v>3175965.7412745301</v>
      </c>
      <c r="K20" s="305">
        <v>3221660.7412745301</v>
      </c>
      <c r="L20" s="305">
        <f>3221660.74127453+180190-1500696+1000000+200000</f>
        <v>3101154.7412745301</v>
      </c>
      <c r="M20" s="305">
        <f>3221660.74127453+180190-1500696+1000000+200000</f>
        <v>3101154.7412745301</v>
      </c>
      <c r="N20" s="305">
        <f>3221660.74127453+180190-1500696+1000000+200000-100000</f>
        <v>3001154.7412745301</v>
      </c>
      <c r="O20" s="305">
        <f>3221660.74127453+51271-500696-112617+400000</f>
        <v>3059618.7412745301</v>
      </c>
      <c r="P20" s="305">
        <f>3221660.74127453+51271-500696-112617+400000</f>
        <v>3059618.7412745301</v>
      </c>
      <c r="Q20" s="305">
        <f>3221660.74127453+51271-500696-112617+400000+200000+1542561*0.06</f>
        <v>3352172.4012745302</v>
      </c>
      <c r="R20" s="305">
        <f>3221660.74127453+51271-500696-112617+400000+200000+889159*0.06</f>
        <v>3312968.2812745301</v>
      </c>
      <c r="S20" s="772"/>
      <c r="T20" s="547">
        <f>M20/M22</f>
        <v>5.2097555389370762E-2</v>
      </c>
      <c r="U20" s="547">
        <f>N20/N22</f>
        <v>5.0658726258316113E-2</v>
      </c>
      <c r="V20" s="547">
        <v>5.6205719185771351E-2</v>
      </c>
      <c r="W20" s="547">
        <v>5.6205719185771351E-2</v>
      </c>
      <c r="X20" s="547"/>
      <c r="Y20" s="228">
        <f>J20/($J$16+$J$22)</f>
        <v>2.3727194713270911E-2</v>
      </c>
      <c r="Z20" s="228"/>
      <c r="AA20" s="37"/>
      <c r="AB20" s="547"/>
      <c r="AC20" s="228">
        <f>M20/($M$16+$M$22)</f>
        <v>2.6462027057654599E-2</v>
      </c>
      <c r="AD20" s="228"/>
      <c r="AE20" s="37"/>
      <c r="AF20" s="547"/>
      <c r="AG20" s="228">
        <f>P20/($P$16+$P$22)</f>
        <v>2.7029293131039963E-2</v>
      </c>
      <c r="AH20" s="548"/>
      <c r="AI20" s="178"/>
      <c r="AJ20" s="172"/>
      <c r="AK20" s="170"/>
      <c r="AL20" s="77"/>
    </row>
    <row r="21" spans="1:38" ht="18.75" thickBot="1" x14ac:dyDescent="0.3">
      <c r="A21" s="15" t="s">
        <v>30</v>
      </c>
      <c r="B21" s="15"/>
      <c r="C21" s="15"/>
      <c r="D21" s="238" t="s">
        <v>117</v>
      </c>
      <c r="E21" s="306">
        <v>5382744</v>
      </c>
      <c r="F21" s="305">
        <f>16292991.8385636+978604</f>
        <v>17271595.838563599</v>
      </c>
      <c r="G21" s="305">
        <v>12300907</v>
      </c>
      <c r="H21" s="305">
        <v>17107377.838563599</v>
      </c>
      <c r="I21" s="305">
        <f>17107377.8385636-1414264-2166589</f>
        <v>13526524.838563599</v>
      </c>
      <c r="J21" s="305">
        <f>13526524.8385636+1000000</f>
        <v>14526524.838563601</v>
      </c>
      <c r="K21" s="305">
        <v>15693113.838563599</v>
      </c>
      <c r="L21" s="305">
        <f>15693113.8385636-2166589-1000000</f>
        <v>12526524.838563601</v>
      </c>
      <c r="M21" s="305">
        <f>15693113.8385636-2166589-1000000</f>
        <v>12526524.838563601</v>
      </c>
      <c r="N21" s="305">
        <f>15693113.8385636-2166589-1000000-183315-500000</f>
        <v>11843209.838563601</v>
      </c>
      <c r="O21" s="305">
        <f>15693113.8385636-2166589-487309-1000000</f>
        <v>12039215.838563601</v>
      </c>
      <c r="P21" s="305">
        <f>15693113.8385636-2166589-487309-1000000</f>
        <v>12039215.838563601</v>
      </c>
      <c r="Q21" s="305">
        <f>15693113.8385636-2166589-487309-1000000+1542561*0.21</f>
        <v>12363153.648563601</v>
      </c>
      <c r="R21" s="305">
        <f>15693113.8385636-2166589-487309-1000000+889159*0.21</f>
        <v>12225939.228563601</v>
      </c>
      <c r="S21" s="772">
        <v>889158.50834459066</v>
      </c>
      <c r="T21" s="546">
        <f>M21/M22</f>
        <v>0.21043816773399254</v>
      </c>
      <c r="U21" s="546">
        <f>N21/N22</f>
        <v>0.19991036016250127</v>
      </c>
      <c r="V21" s="546">
        <v>0.20759261691280295</v>
      </c>
      <c r="W21" s="546">
        <v>0.20759261691280295</v>
      </c>
      <c r="X21" s="546">
        <f>SUM(Y18:Y21)</f>
        <v>0.50838608111134476</v>
      </c>
      <c r="Y21" s="228">
        <f>J21/($J$16+$J$22)</f>
        <v>0.10852563013272482</v>
      </c>
      <c r="AB21" s="546">
        <f>SUM(AC18:AC21)</f>
        <v>0.50793222176896102</v>
      </c>
      <c r="AC21" s="228">
        <f>M21/($M$16+$M$22)</f>
        <v>0.10688832608211611</v>
      </c>
      <c r="AF21" s="546">
        <f>SUM(AG18:AG21)</f>
        <v>0.50615064149342948</v>
      </c>
      <c r="AG21" s="228">
        <f>P21/($P$16+$P$22)</f>
        <v>0.10635687694632162</v>
      </c>
      <c r="AJ21" s="172"/>
      <c r="AK21" s="170"/>
      <c r="AL21" s="171"/>
    </row>
    <row r="22" spans="1:38" s="1" customFormat="1" ht="18.75" thickBot="1" x14ac:dyDescent="0.3">
      <c r="A22" s="380"/>
      <c r="B22" s="380"/>
      <c r="C22" s="380"/>
      <c r="D22" s="259" t="s">
        <v>277</v>
      </c>
      <c r="E22" s="307">
        <f t="shared" ref="E22:P22" si="11">SUM(E18:E21)</f>
        <v>63809916</v>
      </c>
      <c r="F22" s="260">
        <f t="shared" ref="F22" si="12">SUM(F18:F21)</f>
        <v>74453129.678755432</v>
      </c>
      <c r="G22" s="260">
        <f t="shared" si="11"/>
        <v>60768165</v>
      </c>
      <c r="H22" s="260">
        <f t="shared" si="11"/>
        <v>71568999.678755432</v>
      </c>
      <c r="I22" s="260">
        <f t="shared" ref="I22" si="13">SUM(I18:I21)</f>
        <v>64999206.678755432</v>
      </c>
      <c r="J22" s="260">
        <f t="shared" si="11"/>
        <v>68049206.678755432</v>
      </c>
      <c r="K22" s="260">
        <f t="shared" si="11"/>
        <v>65941480.678755432</v>
      </c>
      <c r="L22" s="260">
        <f t="shared" ref="L22" si="14">SUM(L18:L21)</f>
        <v>59525916.678755432</v>
      </c>
      <c r="M22" s="260">
        <f t="shared" si="11"/>
        <v>59525916.678755432</v>
      </c>
      <c r="N22" s="260">
        <f t="shared" ref="N22" si="15">SUM(N18:N21)</f>
        <v>59242601.678755432</v>
      </c>
      <c r="O22" s="260">
        <f t="shared" ref="O22" si="16">SUM(O18:O21)</f>
        <v>57294431.678755432</v>
      </c>
      <c r="P22" s="260">
        <f t="shared" si="11"/>
        <v>57294431.678755432</v>
      </c>
      <c r="Q22" s="260">
        <f t="shared" ref="Q22:R22" si="17">SUM(Q18:Q21)</f>
        <v>59536992.67875544</v>
      </c>
      <c r="R22" s="260">
        <f t="shared" si="17"/>
        <v>58883590.678755425</v>
      </c>
      <c r="S22" s="775">
        <f>W55-S16</f>
        <v>-860000.49165540934</v>
      </c>
      <c r="T22" s="198">
        <f>M22/(M16+M22)</f>
        <v>0.50793222176896102</v>
      </c>
      <c r="U22" s="198">
        <f>N22/(N16+N22)</f>
        <v>0.50673975756035083</v>
      </c>
      <c r="V22" s="198">
        <v>0.50918580804596913</v>
      </c>
      <c r="W22" s="198">
        <v>0.50918580804596913</v>
      </c>
      <c r="X22" s="552">
        <f>J22+J16</f>
        <v>133853402.37875544</v>
      </c>
      <c r="Y22" s="228">
        <f>SUM(Y10:Y21)</f>
        <v>1</v>
      </c>
      <c r="Z22" s="228"/>
      <c r="AA22" s="37"/>
      <c r="AB22" s="76"/>
      <c r="AC22" s="228">
        <f>SUM(AC10:AC21)</f>
        <v>1</v>
      </c>
      <c r="AD22" s="228"/>
      <c r="AE22" s="76"/>
      <c r="AF22" s="168"/>
      <c r="AG22" s="228">
        <f>SUM(AG10:AG21)</f>
        <v>0.99999999999999978</v>
      </c>
      <c r="AH22" s="228"/>
      <c r="AI22" s="178"/>
      <c r="AJ22" s="176"/>
      <c r="AK22" s="209"/>
      <c r="AL22" s="175"/>
    </row>
    <row r="23" spans="1:38" ht="18.75" thickBot="1" x14ac:dyDescent="0.3">
      <c r="A23" s="15"/>
      <c r="B23" s="15"/>
      <c r="C23" s="15"/>
      <c r="D23" s="856" t="s">
        <v>19</v>
      </c>
      <c r="E23" s="856"/>
      <c r="F23" s="856"/>
      <c r="G23" s="856"/>
      <c r="H23" s="856"/>
      <c r="I23" s="856"/>
      <c r="J23" s="856"/>
      <c r="K23" s="856"/>
      <c r="L23" s="856"/>
      <c r="M23" s="856"/>
      <c r="N23" s="856"/>
      <c r="O23" s="856"/>
      <c r="P23" s="856"/>
      <c r="Q23" s="573"/>
      <c r="R23" s="573"/>
      <c r="S23" s="573"/>
      <c r="T23" s="171"/>
      <c r="U23" s="171"/>
      <c r="V23" s="171"/>
      <c r="W23" s="171"/>
      <c r="X23" s="171"/>
    </row>
    <row r="24" spans="1:38" ht="20.25" customHeight="1" thickBot="1" x14ac:dyDescent="0.3">
      <c r="A24" s="15" t="s">
        <v>29</v>
      </c>
      <c r="B24" s="15"/>
      <c r="C24" s="15"/>
      <c r="D24" s="265" t="s">
        <v>256</v>
      </c>
      <c r="E24" s="305">
        <v>1867994.49</v>
      </c>
      <c r="F24" s="304">
        <v>4800000</v>
      </c>
      <c r="G24" s="304">
        <v>2510466.7000000002</v>
      </c>
      <c r="H24" s="304">
        <v>2668564.42</v>
      </c>
      <c r="I24" s="304">
        <f>(4800000*1.05)-2200000</f>
        <v>2840000</v>
      </c>
      <c r="J24" s="304">
        <f>2840000+500000</f>
        <v>3340000</v>
      </c>
      <c r="K24" s="304">
        <v>2668564.42</v>
      </c>
      <c r="L24" s="304">
        <f>(I24*1.05)+100000</f>
        <v>3082000</v>
      </c>
      <c r="M24" s="304">
        <v>3082000</v>
      </c>
      <c r="N24" s="304">
        <v>3082000</v>
      </c>
      <c r="O24" s="304">
        <f>(L24*1.05)+300000</f>
        <v>3536100</v>
      </c>
      <c r="P24" s="304">
        <v>3536100</v>
      </c>
      <c r="Q24" s="304">
        <f>N24*1.1</f>
        <v>3390200.0000000005</v>
      </c>
      <c r="R24" s="304">
        <f>Q24*1.1</f>
        <v>3729220.0000000009</v>
      </c>
      <c r="S24" s="773"/>
      <c r="AA24" s="6"/>
    </row>
    <row r="25" spans="1:38" ht="21" customHeight="1" thickBot="1" x14ac:dyDescent="0.3">
      <c r="A25" s="15" t="s">
        <v>30</v>
      </c>
      <c r="B25" s="15"/>
      <c r="C25" s="15"/>
      <c r="D25" s="265" t="s">
        <v>258</v>
      </c>
      <c r="E25" s="305">
        <v>2470465.21</v>
      </c>
      <c r="F25" s="305">
        <v>5100000</v>
      </c>
      <c r="G25" s="305">
        <v>3375612.57</v>
      </c>
      <c r="H25" s="305">
        <v>3132662.58</v>
      </c>
      <c r="I25" s="305">
        <f>5100000*1.03-1000000</f>
        <v>4253000</v>
      </c>
      <c r="J25" s="305">
        <f>4253000+500000</f>
        <v>4753000</v>
      </c>
      <c r="K25" s="305">
        <v>3132662.58</v>
      </c>
      <c r="L25" s="305">
        <f>I25*1.03</f>
        <v>4380590</v>
      </c>
      <c r="M25" s="305">
        <v>4380590</v>
      </c>
      <c r="N25" s="305">
        <v>4380590</v>
      </c>
      <c r="O25" s="305">
        <f>L25*1.03</f>
        <v>4512007.7</v>
      </c>
      <c r="P25" s="305">
        <v>4512007.7</v>
      </c>
      <c r="Q25" s="305">
        <f>N25*1.1</f>
        <v>4818649</v>
      </c>
      <c r="R25" s="305">
        <f>Q25*1.1</f>
        <v>5300513.9000000004</v>
      </c>
      <c r="S25" s="772"/>
      <c r="T25" s="14"/>
      <c r="U25" s="14"/>
      <c r="V25" s="14"/>
      <c r="W25" s="14"/>
      <c r="X25" s="14"/>
      <c r="Y25" s="14"/>
      <c r="Z25" s="14"/>
      <c r="AA25" s="6"/>
    </row>
    <row r="26" spans="1:38" s="1" customFormat="1" ht="18.75" thickBot="1" x14ac:dyDescent="0.3">
      <c r="A26" s="380"/>
      <c r="B26" s="380"/>
      <c r="C26" s="380"/>
      <c r="D26" s="259" t="s">
        <v>280</v>
      </c>
      <c r="E26" s="246">
        <f t="shared" ref="E26:P26" si="18">SUM(E24:E25)</f>
        <v>4338459.7</v>
      </c>
      <c r="F26" s="246">
        <f t="shared" ref="F26" si="19">SUM(F24:F25)</f>
        <v>9900000</v>
      </c>
      <c r="G26" s="246">
        <f t="shared" si="18"/>
        <v>5886079.2699999996</v>
      </c>
      <c r="H26" s="246">
        <f t="shared" si="18"/>
        <v>5801227</v>
      </c>
      <c r="I26" s="246">
        <f t="shared" ref="I26" si="20">SUM(I24:I25)</f>
        <v>7093000</v>
      </c>
      <c r="J26" s="246">
        <f t="shared" si="18"/>
        <v>8093000</v>
      </c>
      <c r="K26" s="246">
        <f t="shared" si="18"/>
        <v>5801227</v>
      </c>
      <c r="L26" s="246">
        <f t="shared" ref="L26" si="21">SUM(L24:L25)</f>
        <v>7462590</v>
      </c>
      <c r="M26" s="246">
        <f t="shared" si="18"/>
        <v>7462590</v>
      </c>
      <c r="N26" s="246">
        <f t="shared" ref="N26" si="22">SUM(N24:N25)</f>
        <v>7462590</v>
      </c>
      <c r="O26" s="246">
        <f t="shared" ref="O26" si="23">SUM(O24:O25)</f>
        <v>8048107.7000000002</v>
      </c>
      <c r="P26" s="246">
        <f t="shared" si="18"/>
        <v>8048107.7000000002</v>
      </c>
      <c r="Q26" s="246">
        <f t="shared" ref="Q26:R26" si="24">SUM(Q24:Q25)</f>
        <v>8208849</v>
      </c>
      <c r="R26" s="246">
        <f t="shared" si="24"/>
        <v>9029733.9000000022</v>
      </c>
      <c r="S26" s="774"/>
    </row>
    <row r="27" spans="1:38" ht="19.5" customHeight="1" thickBot="1" x14ac:dyDescent="0.3">
      <c r="A27" s="15"/>
      <c r="B27" s="15"/>
      <c r="C27" s="15"/>
      <c r="D27" s="856" t="s">
        <v>261</v>
      </c>
      <c r="E27" s="856"/>
      <c r="F27" s="856"/>
      <c r="G27" s="856"/>
      <c r="H27" s="856"/>
      <c r="I27" s="856"/>
      <c r="J27" s="856"/>
      <c r="K27" s="856"/>
      <c r="L27" s="856"/>
      <c r="M27" s="856"/>
      <c r="N27" s="856"/>
      <c r="O27" s="856"/>
      <c r="P27" s="856"/>
      <c r="Q27" s="573"/>
      <c r="R27" s="573"/>
      <c r="S27" s="573"/>
      <c r="T27" s="198"/>
      <c r="U27" s="198"/>
      <c r="V27" s="198"/>
      <c r="W27" s="198"/>
      <c r="X27" s="198" t="s">
        <v>396</v>
      </c>
      <c r="Y27" s="198"/>
      <c r="Z27" s="524"/>
      <c r="AA27" s="199"/>
      <c r="AB27" s="37"/>
      <c r="AC27" s="70"/>
      <c r="AD27" s="70"/>
      <c r="AE27" s="70"/>
      <c r="AI27" s="70"/>
      <c r="AK27" s="210"/>
    </row>
    <row r="28" spans="1:38" ht="18.75" thickBot="1" x14ac:dyDescent="0.3">
      <c r="A28" s="15" t="s">
        <v>18</v>
      </c>
      <c r="B28" s="232"/>
      <c r="C28" s="232"/>
      <c r="D28" s="554" t="s">
        <v>395</v>
      </c>
      <c r="E28" s="304">
        <v>250731.51999999999</v>
      </c>
      <c r="F28" s="304">
        <v>412236</v>
      </c>
      <c r="G28" s="304">
        <v>287255</v>
      </c>
      <c r="H28" s="304">
        <v>412236</v>
      </c>
      <c r="I28" s="304">
        <f>736000</f>
        <v>736000</v>
      </c>
      <c r="J28" s="304">
        <f>736000</f>
        <v>736000</v>
      </c>
      <c r="K28" s="304">
        <v>412236</v>
      </c>
      <c r="L28" s="304">
        <f t="shared" ref="L28:R28" si="25">736000</f>
        <v>736000</v>
      </c>
      <c r="M28" s="304">
        <f t="shared" si="25"/>
        <v>736000</v>
      </c>
      <c r="N28" s="304">
        <f t="shared" si="25"/>
        <v>736000</v>
      </c>
      <c r="O28" s="304">
        <f t="shared" si="25"/>
        <v>736000</v>
      </c>
      <c r="P28" s="304">
        <f t="shared" si="25"/>
        <v>736000</v>
      </c>
      <c r="Q28" s="304">
        <f t="shared" si="25"/>
        <v>736000</v>
      </c>
      <c r="R28" s="304">
        <f t="shared" si="25"/>
        <v>736000</v>
      </c>
      <c r="S28" s="773"/>
      <c r="T28" s="202"/>
      <c r="U28" s="202"/>
      <c r="V28" s="202"/>
      <c r="W28" s="202"/>
      <c r="X28" s="202" t="s">
        <v>185</v>
      </c>
      <c r="Y28" s="200"/>
      <c r="Z28" s="200"/>
      <c r="AD28" s="212"/>
      <c r="AK28" s="88"/>
    </row>
    <row r="29" spans="1:38" ht="18.75" thickBot="1" x14ac:dyDescent="0.3">
      <c r="A29" s="232" t="s">
        <v>196</v>
      </c>
      <c r="B29" s="15"/>
      <c r="C29" s="15"/>
      <c r="D29" s="265" t="s">
        <v>392</v>
      </c>
      <c r="E29" s="304">
        <v>363120</v>
      </c>
      <c r="F29" s="304">
        <v>790423</v>
      </c>
      <c r="G29" s="304">
        <v>323082</v>
      </c>
      <c r="H29" s="304">
        <v>790423</v>
      </c>
      <c r="I29" s="304">
        <f>716800+76800</f>
        <v>793600</v>
      </c>
      <c r="J29" s="304">
        <f>793600+50000+50000</f>
        <v>893600</v>
      </c>
      <c r="K29" s="304">
        <v>790423</v>
      </c>
      <c r="L29" s="304">
        <f t="shared" ref="L29:R29" si="26">716800+76800</f>
        <v>793600</v>
      </c>
      <c r="M29" s="304">
        <f t="shared" si="26"/>
        <v>793600</v>
      </c>
      <c r="N29" s="304">
        <f t="shared" si="26"/>
        <v>793600</v>
      </c>
      <c r="O29" s="304">
        <f t="shared" si="26"/>
        <v>793600</v>
      </c>
      <c r="P29" s="304">
        <f t="shared" si="26"/>
        <v>793600</v>
      </c>
      <c r="Q29" s="304">
        <f t="shared" si="26"/>
        <v>793600</v>
      </c>
      <c r="R29" s="304">
        <f t="shared" si="26"/>
        <v>793600</v>
      </c>
      <c r="S29" s="773"/>
      <c r="T29" s="171"/>
      <c r="U29" s="171"/>
      <c r="V29" s="171"/>
      <c r="W29" s="171"/>
      <c r="X29" s="171" t="s">
        <v>188</v>
      </c>
      <c r="Y29" s="201"/>
      <c r="Z29" s="201"/>
      <c r="AA29" s="171"/>
      <c r="AB29" s="171"/>
      <c r="AL29" s="41"/>
    </row>
    <row r="30" spans="1:38" ht="18.75" thickBot="1" x14ac:dyDescent="0.3">
      <c r="A30" s="232" t="s">
        <v>196</v>
      </c>
      <c r="B30" s="15"/>
      <c r="C30" s="15"/>
      <c r="D30" s="555" t="s">
        <v>393</v>
      </c>
      <c r="E30" s="556">
        <v>385115.97</v>
      </c>
      <c r="F30" s="556">
        <f t="shared" ref="F30:K30" si="27">656574+300000</f>
        <v>956574</v>
      </c>
      <c r="G30" s="556">
        <v>562598</v>
      </c>
      <c r="H30" s="556">
        <f t="shared" si="27"/>
        <v>956574</v>
      </c>
      <c r="I30" s="556">
        <f>768000</f>
        <v>768000</v>
      </c>
      <c r="J30" s="556">
        <f>768000</f>
        <v>768000</v>
      </c>
      <c r="K30" s="556">
        <f t="shared" si="27"/>
        <v>956574</v>
      </c>
      <c r="L30" s="556">
        <f t="shared" ref="L30:P30" si="28">768000</f>
        <v>768000</v>
      </c>
      <c r="M30" s="556">
        <f t="shared" si="28"/>
        <v>768000</v>
      </c>
      <c r="N30" s="556">
        <f t="shared" si="28"/>
        <v>768000</v>
      </c>
      <c r="O30" s="556">
        <f t="shared" si="28"/>
        <v>768000</v>
      </c>
      <c r="P30" s="556">
        <f t="shared" si="28"/>
        <v>768000</v>
      </c>
      <c r="Q30" s="556">
        <f>N30*1.05</f>
        <v>806400</v>
      </c>
      <c r="R30" s="556">
        <f>Q30*1.05</f>
        <v>846720</v>
      </c>
      <c r="S30" s="776"/>
      <c r="T30" s="200"/>
      <c r="U30" s="200"/>
      <c r="V30" s="200"/>
      <c r="W30" s="200"/>
      <c r="X30" s="200" t="s">
        <v>184</v>
      </c>
      <c r="Y30" s="202"/>
      <c r="Z30" s="202"/>
      <c r="AA30" s="171"/>
      <c r="AB30" s="171"/>
      <c r="AG30" s="70"/>
      <c r="AK30" s="207"/>
      <c r="AL30" s="41"/>
    </row>
    <row r="31" spans="1:38" ht="18.75" thickBot="1" x14ac:dyDescent="0.3">
      <c r="A31" s="15" t="s">
        <v>18</v>
      </c>
      <c r="B31" s="232"/>
      <c r="C31" s="232"/>
      <c r="D31" s="555" t="s">
        <v>394</v>
      </c>
      <c r="E31" s="556">
        <v>1330908.8700000001</v>
      </c>
      <c r="F31" s="556">
        <f t="shared" ref="F31:K31" si="29">1967999.99889552-300000</f>
        <v>1667999.9988955201</v>
      </c>
      <c r="G31" s="556">
        <v>876300.83</v>
      </c>
      <c r="H31" s="556">
        <f t="shared" si="29"/>
        <v>1667999.9988955201</v>
      </c>
      <c r="I31" s="556">
        <f>400000</f>
        <v>400000</v>
      </c>
      <c r="J31" s="556">
        <f>400000+50000</f>
        <v>450000</v>
      </c>
      <c r="K31" s="556">
        <f t="shared" si="29"/>
        <v>1667999.9988955201</v>
      </c>
      <c r="L31" s="556">
        <f t="shared" ref="L31:R31" si="30">400000</f>
        <v>400000</v>
      </c>
      <c r="M31" s="556">
        <f t="shared" si="30"/>
        <v>400000</v>
      </c>
      <c r="N31" s="556">
        <f t="shared" si="30"/>
        <v>400000</v>
      </c>
      <c r="O31" s="556">
        <f t="shared" si="30"/>
        <v>400000</v>
      </c>
      <c r="P31" s="556">
        <f t="shared" si="30"/>
        <v>400000</v>
      </c>
      <c r="Q31" s="556">
        <f t="shared" si="30"/>
        <v>400000</v>
      </c>
      <c r="R31" s="556">
        <f t="shared" si="30"/>
        <v>400000</v>
      </c>
      <c r="S31" s="776"/>
      <c r="T31" s="201"/>
      <c r="U31" s="201"/>
      <c r="V31" s="201"/>
      <c r="W31" s="201"/>
      <c r="X31" s="201" t="s">
        <v>141</v>
      </c>
      <c r="Y31" s="171"/>
      <c r="Z31" s="171"/>
      <c r="AA31" s="171"/>
      <c r="AK31" s="171"/>
      <c r="AL31" s="41"/>
    </row>
    <row r="32" spans="1:38" s="1" customFormat="1" ht="18.75" thickBot="1" x14ac:dyDescent="0.3">
      <c r="A32" s="380"/>
      <c r="B32" s="380"/>
      <c r="C32" s="380"/>
      <c r="D32" s="259" t="s">
        <v>278</v>
      </c>
      <c r="E32" s="246">
        <f t="shared" ref="E32:P32" si="31">SUM(E28:E31)</f>
        <v>2329876.3600000003</v>
      </c>
      <c r="F32" s="246">
        <f t="shared" ref="F32" si="32">SUM(F28:F31)</f>
        <v>3827232.9988955203</v>
      </c>
      <c r="G32" s="246">
        <f t="shared" si="31"/>
        <v>2049235.83</v>
      </c>
      <c r="H32" s="246">
        <f>SUM(H28:H31)</f>
        <v>3827232.9988955203</v>
      </c>
      <c r="I32" s="246">
        <f>SUM(I28:I31)</f>
        <v>2697600</v>
      </c>
      <c r="J32" s="246">
        <f>SUM(J28:J31)</f>
        <v>2847600</v>
      </c>
      <c r="K32" s="246">
        <f t="shared" ref="K32:M32" si="33">SUM(K28:K31)</f>
        <v>3827232.9988955203</v>
      </c>
      <c r="L32" s="246">
        <f t="shared" ref="L32" si="34">SUM(L28:L31)</f>
        <v>2697600</v>
      </c>
      <c r="M32" s="246">
        <f t="shared" si="33"/>
        <v>2697600</v>
      </c>
      <c r="N32" s="246">
        <f t="shared" ref="N32" si="35">SUM(N28:N31)</f>
        <v>2697600</v>
      </c>
      <c r="O32" s="246">
        <f t="shared" ref="O32" si="36">SUM(O28:O31)</f>
        <v>2697600</v>
      </c>
      <c r="P32" s="246">
        <f t="shared" si="31"/>
        <v>2697600</v>
      </c>
      <c r="Q32" s="246">
        <f t="shared" ref="Q32:R32" si="37">SUM(Q28:Q31)</f>
        <v>2736000</v>
      </c>
      <c r="R32" s="246">
        <f t="shared" si="37"/>
        <v>2776320</v>
      </c>
      <c r="S32" s="774"/>
      <c r="T32" s="225"/>
      <c r="U32" s="225"/>
      <c r="V32" s="225"/>
      <c r="W32" s="225"/>
      <c r="X32" s="225">
        <v>-10004019.230300436</v>
      </c>
      <c r="Y32" s="225"/>
      <c r="Z32" s="225"/>
      <c r="AG32" s="192">
        <v>-2250102</v>
      </c>
    </row>
    <row r="33" spans="1:37" ht="18.75" thickBot="1" x14ac:dyDescent="0.3">
      <c r="A33" s="15"/>
      <c r="B33" s="15"/>
      <c r="C33" s="15"/>
      <c r="D33" s="856" t="s">
        <v>39</v>
      </c>
      <c r="E33" s="856"/>
      <c r="F33" s="856"/>
      <c r="G33" s="856"/>
      <c r="H33" s="856"/>
      <c r="I33" s="856"/>
      <c r="J33" s="856"/>
      <c r="K33" s="856"/>
      <c r="L33" s="856"/>
      <c r="M33" s="856"/>
      <c r="N33" s="856"/>
      <c r="O33" s="856"/>
      <c r="P33" s="856"/>
      <c r="Q33" s="573"/>
      <c r="R33" s="573"/>
      <c r="S33" s="573"/>
      <c r="T33" s="171"/>
      <c r="U33" s="171"/>
      <c r="V33" s="171"/>
      <c r="W33" s="171"/>
      <c r="X33" s="171">
        <f>$X$32*Z33</f>
        <v>-1924205.4303009587</v>
      </c>
      <c r="Y33" s="228">
        <v>0.11145496748376914</v>
      </c>
      <c r="Z33" s="228">
        <f>Y33/$Y$37</f>
        <v>0.19234323585393306</v>
      </c>
      <c r="AB33" s="228">
        <v>2.3292734113727013E-2</v>
      </c>
      <c r="AC33" s="228">
        <f>AB33/$AB$36</f>
        <v>8.7327599008020118E-2</v>
      </c>
      <c r="AD33" s="37">
        <f>-$X$32*AC33</f>
        <v>873626.97981219855</v>
      </c>
      <c r="AG33" s="228">
        <v>0.19234323585393306</v>
      </c>
      <c r="AH33" s="171">
        <f>$AG$32*AG33</f>
        <v>-432791.8996814065</v>
      </c>
      <c r="AI33" s="228">
        <v>8.7327599008020118E-2</v>
      </c>
      <c r="AJ33" s="171">
        <f>-$AG$32*AI33</f>
        <v>196496.00518314409</v>
      </c>
    </row>
    <row r="34" spans="1:37" ht="18.75" thickBot="1" x14ac:dyDescent="0.3">
      <c r="A34" s="15" t="s">
        <v>29</v>
      </c>
      <c r="B34" s="15"/>
      <c r="C34" s="15"/>
      <c r="D34" s="238" t="s">
        <v>154</v>
      </c>
      <c r="E34" s="305">
        <v>2746177.84</v>
      </c>
      <c r="F34" s="304">
        <v>900072.05507545499</v>
      </c>
      <c r="G34" s="304">
        <v>899985.77</v>
      </c>
      <c r="H34" s="304">
        <v>900072.05507545499</v>
      </c>
      <c r="I34" s="304">
        <f>900072.055075455+1000000+599928</f>
        <v>2500000.055075455</v>
      </c>
      <c r="J34" s="304">
        <f>2500000.05507545+250000</f>
        <v>2750000.0550754499</v>
      </c>
      <c r="K34" s="304">
        <v>900072.05507545499</v>
      </c>
      <c r="L34" s="304">
        <f>900072.055075455+1000000+599928</f>
        <v>2500000.055075455</v>
      </c>
      <c r="M34" s="304">
        <f>900072.055075455+1000000+599928</f>
        <v>2500000.055075455</v>
      </c>
      <c r="N34" s="304">
        <f>900072.055075455+1000000+599928-500000</f>
        <v>2000000.055075455</v>
      </c>
      <c r="O34" s="304">
        <f>900072.055075455+1000000+599928</f>
        <v>2500000.055075455</v>
      </c>
      <c r="P34" s="304">
        <f>900072.055075455+1000000+599928</f>
        <v>2500000.055075455</v>
      </c>
      <c r="Q34" s="304">
        <f>900072.055075455+1000000+599928</f>
        <v>2500000.055075455</v>
      </c>
      <c r="R34" s="304">
        <f>900072.055075455+1000000+599928</f>
        <v>2500000.055075455</v>
      </c>
      <c r="S34" s="773"/>
      <c r="T34" s="171"/>
      <c r="U34" s="171"/>
      <c r="V34" s="171"/>
      <c r="W34" s="171"/>
      <c r="X34" s="171">
        <f t="shared" ref="X34:X36" si="38">$X$32*Z34</f>
        <v>-5412528.0002604816</v>
      </c>
      <c r="Y34" s="228">
        <v>0.31350765504266825</v>
      </c>
      <c r="Z34" s="228">
        <f t="shared" ref="Z34:Z36" si="39">Y34/$Y$37</f>
        <v>0.54103534546063992</v>
      </c>
      <c r="AB34" s="228">
        <v>0.16245033706829393</v>
      </c>
      <c r="AC34" s="228">
        <f t="shared" ref="AC34:AC35" si="40">AB34/$AB$36</f>
        <v>0.60904820468702581</v>
      </c>
      <c r="AD34" s="37">
        <f t="shared" ref="AD34:AD35" si="41">-$X$32*AC34</f>
        <v>6092929.9518689625</v>
      </c>
      <c r="AG34" s="228">
        <v>0.54103534546063992</v>
      </c>
      <c r="AH34" s="171">
        <f t="shared" ref="AH34:AH36" si="42">$AG$32*AG34</f>
        <v>-1217384.7128916767</v>
      </c>
      <c r="AI34" s="228">
        <v>0.60904820468702581</v>
      </c>
      <c r="AJ34" s="171">
        <f>-$AG$32*AI34</f>
        <v>1370420.583462686</v>
      </c>
      <c r="AK34" s="171"/>
    </row>
    <row r="35" spans="1:37" ht="18.75" thickBot="1" x14ac:dyDescent="0.3">
      <c r="A35" s="15" t="s">
        <v>30</v>
      </c>
      <c r="B35" s="15"/>
      <c r="C35" s="15"/>
      <c r="D35" s="238" t="s">
        <v>195</v>
      </c>
      <c r="E35" s="305">
        <v>3103714.08</v>
      </c>
      <c r="F35" s="304">
        <v>2501339.2643489847</v>
      </c>
      <c r="G35" s="304">
        <v>812013.75</v>
      </c>
      <c r="H35" s="304">
        <v>2501339.2643489847</v>
      </c>
      <c r="I35" s="304">
        <f>1000000</f>
        <v>1000000</v>
      </c>
      <c r="J35" s="304">
        <f>1000000+750000</f>
        <v>1750000</v>
      </c>
      <c r="K35" s="304">
        <v>2501339.2643489847</v>
      </c>
      <c r="L35" s="304">
        <f>1000000</f>
        <v>1000000</v>
      </c>
      <c r="M35" s="304">
        <f>1000000</f>
        <v>1000000</v>
      </c>
      <c r="N35" s="304">
        <f>1000000</f>
        <v>1000000</v>
      </c>
      <c r="O35" s="304">
        <f>1000000</f>
        <v>1000000</v>
      </c>
      <c r="P35" s="304">
        <f>1000000</f>
        <v>1000000</v>
      </c>
      <c r="Q35" s="304">
        <f>1000000+500000</f>
        <v>1500000</v>
      </c>
      <c r="R35" s="304">
        <f>1000000+500000</f>
        <v>1500000</v>
      </c>
      <c r="S35" s="773"/>
      <c r="T35" s="171"/>
      <c r="U35" s="171"/>
      <c r="V35" s="171"/>
      <c r="W35" s="171"/>
      <c r="X35" s="171">
        <f t="shared" si="38"/>
        <v>-500696.46632196044</v>
      </c>
      <c r="Y35" s="228">
        <v>2.9001637504174341E-2</v>
      </c>
      <c r="Z35" s="228">
        <f t="shared" si="39"/>
        <v>5.0049530573215796E-2</v>
      </c>
      <c r="AB35" s="228">
        <v>8.0985138207863003E-2</v>
      </c>
      <c r="AC35" s="228">
        <f t="shared" si="40"/>
        <v>0.30362419630495402</v>
      </c>
      <c r="AD35" s="37">
        <f t="shared" si="41"/>
        <v>3037462.2986192745</v>
      </c>
      <c r="AG35" s="228">
        <v>5.0049530573215796E-2</v>
      </c>
      <c r="AH35" s="171">
        <f t="shared" si="42"/>
        <v>-112616.548841854</v>
      </c>
      <c r="AI35" s="228">
        <v>0.30362419630495402</v>
      </c>
      <c r="AJ35" s="171">
        <f>-$AG$32*AI35</f>
        <v>683185.4113541696</v>
      </c>
    </row>
    <row r="36" spans="1:37" ht="18.75" thickBot="1" x14ac:dyDescent="0.3">
      <c r="A36" s="15" t="s">
        <v>31</v>
      </c>
      <c r="B36" s="15"/>
      <c r="C36" s="15"/>
      <c r="D36" s="238" t="s">
        <v>21</v>
      </c>
      <c r="E36" s="305">
        <v>136027.44</v>
      </c>
      <c r="F36" s="304">
        <v>162226.85932861775</v>
      </c>
      <c r="G36" s="304">
        <v>51833</v>
      </c>
      <c r="H36" s="304">
        <v>162226.85932861775</v>
      </c>
      <c r="I36" s="304">
        <f>162226.859328618</f>
        <v>162226.85932861801</v>
      </c>
      <c r="J36" s="304">
        <f>162226.859328618</f>
        <v>162226.85932861801</v>
      </c>
      <c r="K36" s="304">
        <v>162226.85932861775</v>
      </c>
      <c r="L36" s="304">
        <f t="shared" ref="L36:R36" si="43">162226.859328618</f>
        <v>162226.85932861801</v>
      </c>
      <c r="M36" s="304">
        <f t="shared" si="43"/>
        <v>162226.85932861801</v>
      </c>
      <c r="N36" s="304">
        <f t="shared" si="43"/>
        <v>162226.85932861801</v>
      </c>
      <c r="O36" s="304">
        <f t="shared" si="43"/>
        <v>162226.85932861801</v>
      </c>
      <c r="P36" s="304">
        <f t="shared" si="43"/>
        <v>162226.85932861801</v>
      </c>
      <c r="Q36" s="304">
        <f t="shared" si="43"/>
        <v>162226.85932861801</v>
      </c>
      <c r="R36" s="304">
        <f t="shared" si="43"/>
        <v>162226.85932861801</v>
      </c>
      <c r="S36" s="773"/>
      <c r="T36" s="171"/>
      <c r="U36" s="171"/>
      <c r="V36" s="171"/>
      <c r="W36" s="171"/>
      <c r="X36" s="171">
        <f t="shared" si="38"/>
        <v>-2166589.3334170352</v>
      </c>
      <c r="Y36" s="228">
        <v>0.12549447159023353</v>
      </c>
      <c r="Z36" s="228">
        <f t="shared" si="39"/>
        <v>0.2165718881122112</v>
      </c>
      <c r="AB36" s="228">
        <f>SUM(AB33:AB35)</f>
        <v>0.26672820938988395</v>
      </c>
      <c r="AC36" s="228">
        <f>SUM(AC33:AC35)</f>
        <v>1</v>
      </c>
      <c r="AD36" s="37">
        <f>SUM(AD33:AD35)</f>
        <v>10004019.230300436</v>
      </c>
      <c r="AG36" s="228">
        <v>0.2165718881122112</v>
      </c>
      <c r="AH36" s="171">
        <f t="shared" si="42"/>
        <v>-487308.83858506265</v>
      </c>
      <c r="AI36" s="228">
        <f>SUM(AI33:AI35)</f>
        <v>1</v>
      </c>
      <c r="AJ36" s="171">
        <f>SUM(AJ33:AJ35)</f>
        <v>2250101.9999999995</v>
      </c>
    </row>
    <row r="37" spans="1:37" s="1" customFormat="1" ht="18.75" thickBot="1" x14ac:dyDescent="0.3">
      <c r="A37" s="380"/>
      <c r="B37" s="380"/>
      <c r="C37" s="380"/>
      <c r="D37" s="259" t="s">
        <v>279</v>
      </c>
      <c r="E37" s="246">
        <f t="shared" ref="E37:P37" si="44">SUM(E34:E36)</f>
        <v>5985919.3600000003</v>
      </c>
      <c r="F37" s="246">
        <f t="shared" ref="F37" si="45">SUM(F34:F36)</f>
        <v>3563638.1787530575</v>
      </c>
      <c r="G37" s="246">
        <f t="shared" si="44"/>
        <v>1763832.52</v>
      </c>
      <c r="H37" s="246">
        <f>SUM(H34:H36)</f>
        <v>3563638.1787530575</v>
      </c>
      <c r="I37" s="246">
        <f>SUM(I34:I36)</f>
        <v>3662226.9144040728</v>
      </c>
      <c r="J37" s="246">
        <f>SUM(J34:J36)</f>
        <v>4662226.9144040681</v>
      </c>
      <c r="K37" s="246">
        <f t="shared" ref="K37:O37" si="46">SUM(K34:K36)</f>
        <v>3563638.1787530575</v>
      </c>
      <c r="L37" s="246">
        <f t="shared" ref="L37" si="47">SUM(L34:L36)</f>
        <v>3662226.9144040728</v>
      </c>
      <c r="M37" s="246">
        <f t="shared" si="46"/>
        <v>3662226.9144040728</v>
      </c>
      <c r="N37" s="246">
        <f t="shared" ref="N37" si="48">SUM(N34:N36)</f>
        <v>3162226.9144040728</v>
      </c>
      <c r="O37" s="246">
        <f t="shared" si="46"/>
        <v>3662226.9144040728</v>
      </c>
      <c r="P37" s="246">
        <f t="shared" si="44"/>
        <v>3662226.9144040728</v>
      </c>
      <c r="Q37" s="246">
        <f t="shared" ref="Q37:R37" si="49">SUM(Q34:Q36)</f>
        <v>4162226.9144040728</v>
      </c>
      <c r="R37" s="246">
        <f t="shared" si="49"/>
        <v>4162226.9144040728</v>
      </c>
      <c r="S37" s="774"/>
      <c r="T37" s="225"/>
      <c r="U37" s="225"/>
      <c r="V37" s="225"/>
      <c r="W37" s="225"/>
      <c r="X37" s="225">
        <f>SUM(X33:X36)</f>
        <v>-10004019.230300436</v>
      </c>
      <c r="Y37" s="553">
        <f>SUM(Y33:Y36)</f>
        <v>0.57945873162084527</v>
      </c>
      <c r="Z37" s="553">
        <f>SUM(Z33:Z36)</f>
        <v>1</v>
      </c>
      <c r="AB37" s="553"/>
      <c r="AC37" s="553"/>
      <c r="AG37" s="553">
        <f>SUM(AG33:AG36)</f>
        <v>1</v>
      </c>
      <c r="AH37" s="225">
        <f>SUM(AH33:AH36)</f>
        <v>-2250102</v>
      </c>
      <c r="AI37" s="553"/>
    </row>
    <row r="38" spans="1:37" ht="21" customHeight="1" thickBot="1" x14ac:dyDescent="0.3">
      <c r="A38" s="15"/>
      <c r="B38" s="15"/>
      <c r="C38" s="15"/>
      <c r="D38" s="856" t="s">
        <v>22</v>
      </c>
      <c r="E38" s="856"/>
      <c r="F38" s="856"/>
      <c r="G38" s="856"/>
      <c r="H38" s="856"/>
      <c r="I38" s="856"/>
      <c r="J38" s="856"/>
      <c r="K38" s="856"/>
      <c r="L38" s="856"/>
      <c r="M38" s="856"/>
      <c r="N38" s="856"/>
      <c r="O38" s="856"/>
      <c r="P38" s="856"/>
      <c r="Q38" s="573"/>
      <c r="R38" s="573"/>
      <c r="S38" s="573"/>
      <c r="AI38" s="228"/>
    </row>
    <row r="39" spans="1:37" ht="21" customHeight="1" thickBot="1" x14ac:dyDescent="0.3">
      <c r="A39" s="15" t="s">
        <v>31</v>
      </c>
      <c r="B39" s="15"/>
      <c r="C39" s="15"/>
      <c r="D39" s="265" t="s">
        <v>7</v>
      </c>
      <c r="E39" s="305">
        <v>981537</v>
      </c>
      <c r="F39" s="305">
        <v>902596.994695973</v>
      </c>
      <c r="G39" s="305">
        <v>813385</v>
      </c>
      <c r="H39" s="305">
        <v>902596.994695973</v>
      </c>
      <c r="I39" s="305">
        <f>902596.994695973</f>
        <v>902596.994695973</v>
      </c>
      <c r="J39" s="305">
        <f>902596.994695973</f>
        <v>902596.994695973</v>
      </c>
      <c r="K39" s="305">
        <v>902596.994695973</v>
      </c>
      <c r="L39" s="305">
        <f>902596.994695973</f>
        <v>902596.994695973</v>
      </c>
      <c r="M39" s="305">
        <f>902596.994695973-0.31</f>
        <v>902596.68469597294</v>
      </c>
      <c r="N39" s="305">
        <f>902596.994695973-0.31</f>
        <v>902596.68469597294</v>
      </c>
      <c r="O39" s="305">
        <f>902596.994695973</f>
        <v>902596.994695973</v>
      </c>
      <c r="P39" s="305">
        <f>902596.994695973</f>
        <v>902596.994695973</v>
      </c>
      <c r="Q39" s="305">
        <f>902596.994695973</f>
        <v>902596.994695973</v>
      </c>
      <c r="R39" s="305">
        <f>902596.994695973</f>
        <v>902596.994695973</v>
      </c>
      <c r="S39" s="783"/>
    </row>
    <row r="40" spans="1:37" ht="21" customHeight="1" thickBot="1" x14ac:dyDescent="0.3">
      <c r="A40" s="15" t="s">
        <v>18</v>
      </c>
      <c r="B40" s="15"/>
      <c r="C40" s="15"/>
      <c r="D40" s="265" t="s">
        <v>134</v>
      </c>
      <c r="E40" s="304">
        <v>321900</v>
      </c>
      <c r="F40" s="304">
        <v>430380.02805218601</v>
      </c>
      <c r="G40" s="304">
        <v>428192.73</v>
      </c>
      <c r="H40" s="304">
        <v>430380.02805218601</v>
      </c>
      <c r="I40" s="304">
        <f>430380.028052186</f>
        <v>430380.02805218601</v>
      </c>
      <c r="J40" s="304">
        <f>430380.028052186</f>
        <v>430380.02805218601</v>
      </c>
      <c r="K40" s="304">
        <v>430380.02805218601</v>
      </c>
      <c r="L40" s="304">
        <f t="shared" ref="L40:R40" si="50">430380.028052186</f>
        <v>430380.02805218601</v>
      </c>
      <c r="M40" s="304">
        <f t="shared" si="50"/>
        <v>430380.02805218601</v>
      </c>
      <c r="N40" s="304">
        <f t="shared" si="50"/>
        <v>430380.02805218601</v>
      </c>
      <c r="O40" s="304">
        <f t="shared" si="50"/>
        <v>430380.02805218601</v>
      </c>
      <c r="P40" s="304">
        <f t="shared" si="50"/>
        <v>430380.02805218601</v>
      </c>
      <c r="Q40" s="304">
        <f t="shared" si="50"/>
        <v>430380.02805218601</v>
      </c>
      <c r="R40" s="304">
        <f t="shared" si="50"/>
        <v>430380.02805218601</v>
      </c>
      <c r="S40" s="784"/>
      <c r="T40" s="14"/>
      <c r="U40" s="14"/>
      <c r="V40" s="14"/>
      <c r="W40" s="14"/>
      <c r="X40" s="14"/>
      <c r="Y40" s="14"/>
      <c r="Z40" s="14"/>
      <c r="AA40" s="14"/>
      <c r="AB40" s="171"/>
      <c r="AC40" s="171"/>
    </row>
    <row r="41" spans="1:37" ht="21" customHeight="1" thickBot="1" x14ac:dyDescent="0.3">
      <c r="A41" s="15" t="s">
        <v>31</v>
      </c>
      <c r="B41" s="15"/>
      <c r="C41" s="15"/>
      <c r="D41" s="265" t="s">
        <v>193</v>
      </c>
      <c r="E41" s="304">
        <v>549296.34</v>
      </c>
      <c r="F41" s="304">
        <v>703170</v>
      </c>
      <c r="G41" s="304">
        <v>734172</v>
      </c>
      <c r="H41" s="304">
        <v>703170</v>
      </c>
      <c r="I41" s="304">
        <f>703170</f>
        <v>703170</v>
      </c>
      <c r="J41" s="304">
        <f>703170+50000</f>
        <v>753170</v>
      </c>
      <c r="K41" s="304">
        <v>703170</v>
      </c>
      <c r="L41" s="304">
        <f t="shared" ref="L41:R41" si="51">703170</f>
        <v>703170</v>
      </c>
      <c r="M41" s="304">
        <f t="shared" si="51"/>
        <v>703170</v>
      </c>
      <c r="N41" s="304">
        <f t="shared" si="51"/>
        <v>703170</v>
      </c>
      <c r="O41" s="304">
        <f t="shared" si="51"/>
        <v>703170</v>
      </c>
      <c r="P41" s="304">
        <f t="shared" si="51"/>
        <v>703170</v>
      </c>
      <c r="Q41" s="304">
        <f t="shared" si="51"/>
        <v>703170</v>
      </c>
      <c r="R41" s="304">
        <f t="shared" si="51"/>
        <v>703170</v>
      </c>
      <c r="S41" s="784"/>
      <c r="AA41" s="226"/>
    </row>
    <row r="42" spans="1:37" ht="23.25" customHeight="1" thickBot="1" x14ac:dyDescent="0.3">
      <c r="A42" s="15" t="s">
        <v>31</v>
      </c>
      <c r="B42" s="15"/>
      <c r="C42" s="15"/>
      <c r="D42" s="265" t="s">
        <v>222</v>
      </c>
      <c r="E42" s="304">
        <v>1920000</v>
      </c>
      <c r="F42" s="304">
        <v>1920000</v>
      </c>
      <c r="G42" s="304">
        <v>1920000</v>
      </c>
      <c r="H42" s="304">
        <v>1920000</v>
      </c>
      <c r="I42" s="304">
        <v>2880000</v>
      </c>
      <c r="J42" s="304">
        <f>2880000</f>
        <v>2880000</v>
      </c>
      <c r="K42" s="304">
        <v>1920000</v>
      </c>
      <c r="L42" s="304">
        <v>2880000</v>
      </c>
      <c r="M42" s="304">
        <v>2880000</v>
      </c>
      <c r="N42" s="304">
        <v>2880000</v>
      </c>
      <c r="O42" s="304">
        <v>2880000</v>
      </c>
      <c r="P42" s="304">
        <v>2880000</v>
      </c>
      <c r="Q42" s="304">
        <v>2880000</v>
      </c>
      <c r="R42" s="304">
        <v>2880000</v>
      </c>
      <c r="S42" s="784"/>
    </row>
    <row r="43" spans="1:37" ht="21.75" customHeight="1" thickBot="1" x14ac:dyDescent="0.3">
      <c r="A43" s="15" t="s">
        <v>31</v>
      </c>
      <c r="B43" s="15"/>
      <c r="C43" s="15"/>
      <c r="D43" s="265" t="s">
        <v>219</v>
      </c>
      <c r="E43" s="304">
        <v>227298.42</v>
      </c>
      <c r="F43" s="304">
        <v>210542</v>
      </c>
      <c r="G43" s="304">
        <v>256933</v>
      </c>
      <c r="H43" s="304">
        <v>210542</v>
      </c>
      <c r="I43" s="304">
        <f>210542+73690</f>
        <v>284232</v>
      </c>
      <c r="J43" s="304">
        <f>284232</f>
        <v>284232</v>
      </c>
      <c r="K43" s="304">
        <v>210542</v>
      </c>
      <c r="L43" s="304">
        <f t="shared" ref="L43:R43" si="52">210542+73690</f>
        <v>284232</v>
      </c>
      <c r="M43" s="304">
        <f t="shared" si="52"/>
        <v>284232</v>
      </c>
      <c r="N43" s="304">
        <f t="shared" si="52"/>
        <v>284232</v>
      </c>
      <c r="O43" s="304">
        <f t="shared" si="52"/>
        <v>284232</v>
      </c>
      <c r="P43" s="304">
        <f t="shared" si="52"/>
        <v>284232</v>
      </c>
      <c r="Q43" s="304">
        <f t="shared" si="52"/>
        <v>284232</v>
      </c>
      <c r="R43" s="304">
        <f t="shared" si="52"/>
        <v>284232</v>
      </c>
      <c r="S43" s="784"/>
      <c r="T43" s="6"/>
      <c r="U43" s="6"/>
      <c r="V43" s="6"/>
      <c r="W43" s="6"/>
      <c r="X43" s="6"/>
      <c r="Y43" s="6"/>
      <c r="Z43" s="6"/>
    </row>
    <row r="44" spans="1:37" ht="21.75" customHeight="1" thickBot="1" x14ac:dyDescent="0.3">
      <c r="A44" s="15" t="s">
        <v>31</v>
      </c>
      <c r="B44" s="15"/>
      <c r="C44" s="15"/>
      <c r="D44" s="265" t="s">
        <v>8</v>
      </c>
      <c r="E44" s="304">
        <v>1019170.2</v>
      </c>
      <c r="F44" s="304">
        <v>1839096.9931665042</v>
      </c>
      <c r="G44" s="304">
        <v>1606701</v>
      </c>
      <c r="H44" s="304">
        <v>1839096.9931665042</v>
      </c>
      <c r="I44" s="304">
        <f>1839096.9931665</f>
        <v>1839096.9931665</v>
      </c>
      <c r="J44" s="304">
        <f>1839096.9931665</f>
        <v>1839096.9931665</v>
      </c>
      <c r="K44" s="304">
        <v>1839096.9931665042</v>
      </c>
      <c r="L44" s="304">
        <f t="shared" ref="L44:R44" si="53">1839096.9931665</f>
        <v>1839096.9931665</v>
      </c>
      <c r="M44" s="304">
        <f t="shared" si="53"/>
        <v>1839096.9931665</v>
      </c>
      <c r="N44" s="304">
        <f t="shared" si="53"/>
        <v>1839096.9931665</v>
      </c>
      <c r="O44" s="304">
        <f t="shared" si="53"/>
        <v>1839096.9931665</v>
      </c>
      <c r="P44" s="304">
        <f t="shared" si="53"/>
        <v>1839096.9931665</v>
      </c>
      <c r="Q44" s="304">
        <f t="shared" si="53"/>
        <v>1839096.9931665</v>
      </c>
      <c r="R44" s="304">
        <f t="shared" si="53"/>
        <v>1839096.9931665</v>
      </c>
      <c r="S44" s="784"/>
      <c r="T44" s="6"/>
      <c r="U44" s="6"/>
      <c r="V44" s="6"/>
      <c r="W44" s="6"/>
      <c r="X44" s="6"/>
      <c r="Y44" s="6"/>
      <c r="Z44" s="6"/>
    </row>
    <row r="45" spans="1:37" ht="21" customHeight="1" thickBot="1" x14ac:dyDescent="0.3">
      <c r="A45" s="15" t="s">
        <v>31</v>
      </c>
      <c r="B45" s="15"/>
      <c r="C45" s="15"/>
      <c r="D45" s="265" t="s">
        <v>220</v>
      </c>
      <c r="E45" s="304">
        <v>380641</v>
      </c>
      <c r="F45" s="304">
        <v>416000</v>
      </c>
      <c r="G45" s="304">
        <v>394346</v>
      </c>
      <c r="H45" s="304">
        <v>416000</v>
      </c>
      <c r="I45" s="304">
        <f>416000+96001</f>
        <v>512001</v>
      </c>
      <c r="J45" s="304">
        <f>512001</f>
        <v>512001</v>
      </c>
      <c r="K45" s="304">
        <v>416000</v>
      </c>
      <c r="L45" s="304">
        <f t="shared" ref="L45:R45" si="54">416000+96001</f>
        <v>512001</v>
      </c>
      <c r="M45" s="304">
        <f t="shared" si="54"/>
        <v>512001</v>
      </c>
      <c r="N45" s="304">
        <f t="shared" si="54"/>
        <v>512001</v>
      </c>
      <c r="O45" s="304">
        <f t="shared" si="54"/>
        <v>512001</v>
      </c>
      <c r="P45" s="304">
        <f t="shared" si="54"/>
        <v>512001</v>
      </c>
      <c r="Q45" s="304">
        <f t="shared" si="54"/>
        <v>512001</v>
      </c>
      <c r="R45" s="304">
        <f t="shared" si="54"/>
        <v>512001</v>
      </c>
      <c r="S45" s="784"/>
      <c r="T45" s="171"/>
      <c r="U45" s="171"/>
      <c r="V45" s="171"/>
      <c r="W45" s="171"/>
      <c r="X45" s="171"/>
      <c r="Y45" s="171"/>
      <c r="Z45" s="171"/>
    </row>
    <row r="46" spans="1:37" ht="21" customHeight="1" thickBot="1" x14ac:dyDescent="0.3">
      <c r="A46" s="15" t="s">
        <v>31</v>
      </c>
      <c r="B46" s="15"/>
      <c r="C46" s="15"/>
      <c r="D46" s="265" t="s">
        <v>223</v>
      </c>
      <c r="E46" s="304">
        <v>60000</v>
      </c>
      <c r="F46" s="304">
        <v>60000</v>
      </c>
      <c r="G46" s="304">
        <v>60000</v>
      </c>
      <c r="H46" s="304">
        <v>60000</v>
      </c>
      <c r="I46" s="304">
        <f>60000</f>
        <v>60000</v>
      </c>
      <c r="J46" s="304">
        <f>60000</f>
        <v>60000</v>
      </c>
      <c r="K46" s="304">
        <v>60000</v>
      </c>
      <c r="L46" s="304">
        <f>60000</f>
        <v>60000</v>
      </c>
      <c r="M46" s="304">
        <f>60000</f>
        <v>60000</v>
      </c>
      <c r="N46" s="304">
        <f>60000</f>
        <v>60000</v>
      </c>
      <c r="O46" s="304">
        <f>60000</f>
        <v>60000</v>
      </c>
      <c r="P46" s="304">
        <f>60000</f>
        <v>60000</v>
      </c>
      <c r="Q46" s="304">
        <f>60000</f>
        <v>60000</v>
      </c>
      <c r="R46" s="304">
        <f>60000</f>
        <v>60000</v>
      </c>
      <c r="S46" s="784"/>
    </row>
    <row r="47" spans="1:37" ht="21.75" customHeight="1" thickBot="1" x14ac:dyDescent="0.3">
      <c r="A47" s="15" t="s">
        <v>31</v>
      </c>
      <c r="B47" s="15"/>
      <c r="C47" s="15"/>
      <c r="D47" s="238" t="s">
        <v>221</v>
      </c>
      <c r="E47" s="304">
        <v>7770609</v>
      </c>
      <c r="F47" s="304">
        <f>6548767+365062</f>
        <v>6913829</v>
      </c>
      <c r="G47" s="304">
        <v>8681482</v>
      </c>
      <c r="H47" s="304">
        <v>6363241</v>
      </c>
      <c r="I47" s="304">
        <f>6601998+698624</f>
        <v>7300622</v>
      </c>
      <c r="J47" s="304">
        <f>7300622+512452</f>
        <v>7813074</v>
      </c>
      <c r="K47" s="304">
        <v>5898295.4299999997</v>
      </c>
      <c r="L47" s="304">
        <f>6229327+659188</f>
        <v>6888515</v>
      </c>
      <c r="M47" s="304">
        <f>6229327+659188</f>
        <v>6888515</v>
      </c>
      <c r="N47" s="304">
        <v>6849349.3876250004</v>
      </c>
      <c r="O47" s="304">
        <f>6075110+642869</f>
        <v>6717979</v>
      </c>
      <c r="P47" s="304">
        <f>6075110+642869</f>
        <v>6717979</v>
      </c>
      <c r="Q47" s="304">
        <v>6935064.1394624999</v>
      </c>
      <c r="R47" s="304">
        <v>6918454.2825812511</v>
      </c>
      <c r="S47" s="787"/>
    </row>
    <row r="48" spans="1:37" s="1" customFormat="1" ht="21" customHeight="1" thickBot="1" x14ac:dyDescent="0.3">
      <c r="A48" s="380"/>
      <c r="B48" s="380"/>
      <c r="C48" s="380"/>
      <c r="D48" s="259" t="s">
        <v>281</v>
      </c>
      <c r="E48" s="246">
        <f t="shared" ref="E48:P48" si="55">SUM(E39:E47)</f>
        <v>13230451.960000001</v>
      </c>
      <c r="F48" s="246">
        <f t="shared" ref="F48" si="56">SUM(F39:F47)</f>
        <v>13395615.015914664</v>
      </c>
      <c r="G48" s="246">
        <f t="shared" si="55"/>
        <v>14895211.73</v>
      </c>
      <c r="H48" s="246">
        <f>SUM(H39:H47)</f>
        <v>12845027.015914664</v>
      </c>
      <c r="I48" s="246">
        <f>SUM(I39:I47)</f>
        <v>14912099.01591466</v>
      </c>
      <c r="J48" s="246">
        <f>SUM(J39:J47)</f>
        <v>15474551.01591466</v>
      </c>
      <c r="K48" s="246">
        <f t="shared" ref="K48:M48" si="57">SUM(K39:K47)</f>
        <v>12380081.445914663</v>
      </c>
      <c r="L48" s="246">
        <f t="shared" ref="L48" si="58">SUM(L39:L47)</f>
        <v>14499992.01591466</v>
      </c>
      <c r="M48" s="246">
        <f t="shared" si="57"/>
        <v>14499991.705914658</v>
      </c>
      <c r="N48" s="246">
        <f t="shared" ref="N48" si="59">SUM(N39:N47)</f>
        <v>14460826.093539659</v>
      </c>
      <c r="O48" s="246">
        <f t="shared" ref="O48" si="60">SUM(O39:O47)</f>
        <v>14329456.01591466</v>
      </c>
      <c r="P48" s="246">
        <f t="shared" si="55"/>
        <v>14329456.01591466</v>
      </c>
      <c r="Q48" s="246">
        <f t="shared" ref="Q48:R48" si="61">SUM(Q39:Q47)</f>
        <v>14546541.155377159</v>
      </c>
      <c r="R48" s="246">
        <f t="shared" si="61"/>
        <v>14529931.298495911</v>
      </c>
      <c r="S48" s="774"/>
      <c r="AF48" s="192"/>
    </row>
    <row r="49" spans="1:26" ht="17.25" hidden="1" customHeight="1" thickBot="1" x14ac:dyDescent="0.3">
      <c r="A49" s="15"/>
      <c r="B49" s="15"/>
      <c r="C49" s="15"/>
      <c r="D49" s="259" t="s">
        <v>100</v>
      </c>
      <c r="E49" s="247"/>
      <c r="F49" s="247"/>
      <c r="G49" s="247"/>
      <c r="H49" s="247"/>
      <c r="I49" s="247"/>
      <c r="J49" s="247"/>
      <c r="K49" s="247"/>
      <c r="L49" s="247"/>
      <c r="M49" s="247"/>
      <c r="N49" s="247"/>
      <c r="O49" s="247"/>
      <c r="P49" s="247"/>
      <c r="Q49" s="247"/>
      <c r="R49" s="247"/>
      <c r="S49" s="777"/>
    </row>
    <row r="50" spans="1:26" s="7" customFormat="1" ht="18.75" hidden="1" thickBot="1" x14ac:dyDescent="0.3">
      <c r="A50" s="381"/>
      <c r="B50" s="381"/>
      <c r="C50" s="381"/>
      <c r="D50" s="273" t="s">
        <v>25</v>
      </c>
      <c r="E50" s="274">
        <f>SUM(E10,E11,E12,E13,E14,E15,E30*0.5,E28*0.8,E31*0.8,E29*0.5,E34,E40*0.8,E24)</f>
        <v>64479137.087000005</v>
      </c>
      <c r="F50" s="274">
        <f t="shared" ref="F50" si="62">SUM(F10,F11,F12,F13,F14,F15,F30*0.5,F28*0.8,F31*0.8,F29*0.5,F34,F40*0.8,F24)</f>
        <v>64683472.076633617</v>
      </c>
      <c r="G50" s="274">
        <f t="shared" ref="G50:P50" si="63">SUM(G10,G11,G12,G13,G14,G15,G30*0.5,G28*0.8,G31*0.8,G29*0.5,G34,G40*0.8,G24)</f>
        <v>82635319.318000004</v>
      </c>
      <c r="H50" s="274">
        <f t="shared" si="63"/>
        <v>57299642.496633619</v>
      </c>
      <c r="I50" s="274">
        <f t="shared" ref="I50" si="64">SUM(I10,I11,I12,I13,I14,I15,I30*0.5,I28*0.8,I31*0.8,I29*0.5,I34,I40*0.8,I24)</f>
        <v>68179068.7775172</v>
      </c>
      <c r="J50" s="274">
        <f t="shared" si="63"/>
        <v>74018099.7775172</v>
      </c>
      <c r="K50" s="274">
        <f t="shared" si="63"/>
        <v>52595027.496633619</v>
      </c>
      <c r="L50" s="274">
        <f t="shared" ref="L50" si="65">SUM(L10,L11,L12,L13,L14,L15,L30*0.5,L28*0.8,L31*0.8,L29*0.5,L34,L40*0.8,L24)</f>
        <v>65282624.777517207</v>
      </c>
      <c r="M50" s="274">
        <f t="shared" si="63"/>
        <v>65282624.777517207</v>
      </c>
      <c r="N50" s="274">
        <f t="shared" ref="N50" si="66">SUM(N10,N11,N12,N13,N14,N15,N30*0.5,N28*0.8,N31*0.8,N29*0.5,N34,N40*0.8,N24)</f>
        <v>64782624.777517207</v>
      </c>
      <c r="O50" s="274">
        <f t="shared" ref="O50" si="67">SUM(O10,O11,O12,O13,O14,O15,O30*0.5,O28*0.8,O31*0.8,O29*0.5,O34,O40*0.8,O24)</f>
        <v>63971974.777517207</v>
      </c>
      <c r="P50" s="274">
        <f t="shared" si="63"/>
        <v>63971974.777517207</v>
      </c>
      <c r="Q50" s="274">
        <f t="shared" ref="Q50:R50" si="68">SUM(Q10,Q11,Q12,Q13,Q14,Q15,Q30*0.5,Q28*0.8,Q31*0.8,Q29*0.5,Q34,Q40*0.8,Q24)</f>
        <v>65245274.777517207</v>
      </c>
      <c r="R50" s="274">
        <f t="shared" si="68"/>
        <v>65064454.777517207</v>
      </c>
      <c r="S50" s="778"/>
      <c r="T50" s="146"/>
      <c r="U50" s="146"/>
      <c r="V50" s="146"/>
      <c r="W50" s="146"/>
      <c r="X50" s="146"/>
      <c r="Y50" s="146"/>
      <c r="Z50" s="146"/>
    </row>
    <row r="51" spans="1:26" s="7" customFormat="1" ht="18.75" hidden="1" thickBot="1" x14ac:dyDescent="0.3">
      <c r="A51" s="381"/>
      <c r="B51" s="381"/>
      <c r="C51" s="381"/>
      <c r="D51" s="273" t="s">
        <v>26</v>
      </c>
      <c r="E51" s="274">
        <f>SUM(E18,E19,E20,E21,E30*0.5,E28*0.2,E29*0.5,E31*0.2,E35,E40*0.2,E25)</f>
        <v>70138921.352999985</v>
      </c>
      <c r="F51" s="274">
        <f t="shared" ref="F51" si="69">SUM(F18,F19,F20,F21,F30*0.5,F28*0.2,F29*0.5,F31*0.2,F35,F40*0.2,F25)</f>
        <v>83430090.64849396</v>
      </c>
      <c r="G51" s="274">
        <f t="shared" ref="G51:P51" si="70">SUM(G18,G19,G20,G21,G30*0.5,G28*0.2,G29*0.5,G31*0.2,G35,G40*0.2,G25)</f>
        <v>65716981.031999998</v>
      </c>
      <c r="H51" s="274">
        <f t="shared" si="70"/>
        <v>78578623.228493959</v>
      </c>
      <c r="I51" s="274">
        <f t="shared" ref="I51" si="71">SUM(I18,I19,I20,I21,I30*0.5,I28*0.2,I29*0.5,I31*0.2,I35,I40*0.2,I25)</f>
        <v>71346282.684365869</v>
      </c>
      <c r="J51" s="274">
        <f t="shared" si="70"/>
        <v>75706282.684365869</v>
      </c>
      <c r="K51" s="274">
        <f t="shared" si="70"/>
        <v>72951104.228493959</v>
      </c>
      <c r="L51" s="274">
        <f t="shared" ref="L51" si="72">SUM(L18,L19,L20,L21,L30*0.5,L28*0.2,L29*0.5,L31*0.2,L35,L40*0.2,L25)</f>
        <v>66000582.684365869</v>
      </c>
      <c r="M51" s="274">
        <f t="shared" si="70"/>
        <v>66000582.684365869</v>
      </c>
      <c r="N51" s="274">
        <f t="shared" ref="N51" si="73">SUM(N18,N19,N20,N21,N30*0.5,N28*0.2,N29*0.5,N31*0.2,N35,N40*0.2,N25)</f>
        <v>65717267.684365869</v>
      </c>
      <c r="O51" s="274">
        <f t="shared" ref="O51" si="74">SUM(O18,O19,O20,O21,O30*0.5,O28*0.2,O29*0.5,O31*0.2,O35,O40*0.2,O25)</f>
        <v>63900515.384365872</v>
      </c>
      <c r="P51" s="274">
        <f t="shared" si="70"/>
        <v>63900515.384365872</v>
      </c>
      <c r="Q51" s="274">
        <f t="shared" ref="Q51:R51" si="75">SUM(Q18,Q19,Q20,Q21,Q30*0.5,Q28*0.2,Q29*0.5,Q31*0.2,Q35,Q40*0.2,Q25)</f>
        <v>66968917.684365876</v>
      </c>
      <c r="R51" s="274">
        <f t="shared" si="75"/>
        <v>66817540.58436586</v>
      </c>
      <c r="S51" s="778"/>
    </row>
    <row r="52" spans="1:26" s="7" customFormat="1" ht="18.75" hidden="1" thickBot="1" x14ac:dyDescent="0.3">
      <c r="A52" s="15"/>
      <c r="B52" s="15"/>
      <c r="C52" s="15"/>
      <c r="D52" s="273" t="s">
        <v>152</v>
      </c>
      <c r="E52" s="274">
        <f t="shared" ref="E52:P52" si="76">SUM(E36,E39,E41,E42,E43,E44,E45,E46,E47,)</f>
        <v>13044579.399999999</v>
      </c>
      <c r="F52" s="274">
        <f t="shared" ref="F52" si="77">SUM(F36,F39,F41,F42,F43,F44,F45,F46,F47,)</f>
        <v>13127461.847191095</v>
      </c>
      <c r="G52" s="274">
        <f t="shared" si="76"/>
        <v>14518852</v>
      </c>
      <c r="H52" s="274">
        <f t="shared" si="76"/>
        <v>12576873.847191095</v>
      </c>
      <c r="I52" s="274">
        <f t="shared" ref="I52" si="78">SUM(I36,I39,I41,I42,I43,I44,I45,I46,I47,)</f>
        <v>14643945.847191092</v>
      </c>
      <c r="J52" s="274">
        <f t="shared" si="76"/>
        <v>15206397.847191092</v>
      </c>
      <c r="K52" s="274">
        <f t="shared" si="76"/>
        <v>12111928.277191095</v>
      </c>
      <c r="L52" s="274">
        <f t="shared" ref="L52" si="79">SUM(L36,L39,L41,L42,L43,L44,L45,L46,L47,)</f>
        <v>14231838.847191092</v>
      </c>
      <c r="M52" s="274">
        <f t="shared" si="76"/>
        <v>14231838.537191089</v>
      </c>
      <c r="N52" s="274">
        <f t="shared" ref="N52" si="80">SUM(N36,N39,N41,N42,N43,N44,N45,N46,N47,)</f>
        <v>14192672.924816091</v>
      </c>
      <c r="O52" s="274">
        <f t="shared" ref="O52" si="81">SUM(O36,O39,O41,O42,O43,O44,O45,O46,O47,)</f>
        <v>14061302.847191092</v>
      </c>
      <c r="P52" s="274">
        <f t="shared" si="76"/>
        <v>14061302.847191092</v>
      </c>
      <c r="Q52" s="274">
        <f t="shared" ref="Q52:R52" si="82">SUM(Q36,Q39,Q41,Q42,Q43,Q44,Q45,Q46,Q47,)</f>
        <v>14278387.986653591</v>
      </c>
      <c r="R52" s="274">
        <f t="shared" si="82"/>
        <v>14261778.129772343</v>
      </c>
      <c r="S52" s="778"/>
    </row>
    <row r="53" spans="1:26" s="7" customFormat="1" ht="18.75" hidden="1" thickBot="1" x14ac:dyDescent="0.3">
      <c r="A53" s="15"/>
      <c r="B53" s="15"/>
      <c r="C53" s="15"/>
      <c r="D53" s="273" t="s">
        <v>27</v>
      </c>
      <c r="E53" s="309">
        <f t="shared" ref="E53:P53" si="83">SUM(E50:E52)</f>
        <v>147662637.84</v>
      </c>
      <c r="F53" s="309">
        <f t="shared" ref="F53" si="84">SUM(F50:F52)</f>
        <v>161241024.57231867</v>
      </c>
      <c r="G53" s="309">
        <f t="shared" si="83"/>
        <v>162871152.34999999</v>
      </c>
      <c r="H53" s="309">
        <f t="shared" ref="H53" si="85">SUM(H50:H52)</f>
        <v>148455139.57231867</v>
      </c>
      <c r="I53" s="309">
        <f t="shared" ref="I53" si="86">SUM(I50:I52)</f>
        <v>154169297.30907416</v>
      </c>
      <c r="J53" s="309">
        <f t="shared" si="83"/>
        <v>164930780.30907416</v>
      </c>
      <c r="K53" s="309">
        <f t="shared" ref="K53:M53" si="87">SUM(K50:K52)</f>
        <v>137658060.00231868</v>
      </c>
      <c r="L53" s="309">
        <f t="shared" ref="L53" si="88">SUM(L50:L52)</f>
        <v>145515046.30907416</v>
      </c>
      <c r="M53" s="309">
        <f t="shared" si="87"/>
        <v>145515045.99907416</v>
      </c>
      <c r="N53" s="309">
        <f t="shared" ref="N53" si="89">SUM(N50:N52)</f>
        <v>144692565.38669917</v>
      </c>
      <c r="O53" s="309">
        <f t="shared" ref="O53" si="90">SUM(O50:O52)</f>
        <v>141933793.00907418</v>
      </c>
      <c r="P53" s="309">
        <f t="shared" si="83"/>
        <v>141933793.00907418</v>
      </c>
      <c r="Q53" s="309">
        <f t="shared" ref="Q53:R53" si="91">SUM(Q50:Q52)</f>
        <v>146492580.44853666</v>
      </c>
      <c r="R53" s="309">
        <f t="shared" si="91"/>
        <v>146143773.49165541</v>
      </c>
      <c r="S53" s="779"/>
    </row>
    <row r="54" spans="1:26" s="1" customFormat="1" ht="21" customHeight="1" thickBot="1" x14ac:dyDescent="0.3">
      <c r="A54" s="380"/>
      <c r="B54" s="380"/>
      <c r="C54" s="380"/>
      <c r="D54" s="259" t="s">
        <v>28</v>
      </c>
      <c r="E54" s="246">
        <f t="shared" ref="E54:F54" si="92">SUM(E53,)</f>
        <v>147662637.84</v>
      </c>
      <c r="F54" s="246">
        <f t="shared" si="92"/>
        <v>161241024.57231867</v>
      </c>
      <c r="G54" s="246">
        <f t="shared" ref="G54:P54" si="93">SUM(G53,)</f>
        <v>162871152.34999999</v>
      </c>
      <c r="H54" s="246">
        <f t="shared" ref="H54:I54" si="94">SUM(H53,)</f>
        <v>148455139.57231867</v>
      </c>
      <c r="I54" s="246">
        <f t="shared" si="94"/>
        <v>154169297.30907416</v>
      </c>
      <c r="J54" s="246">
        <f t="shared" si="93"/>
        <v>164930780.30907416</v>
      </c>
      <c r="K54" s="246">
        <f t="shared" ref="K54:O54" si="95">SUM(K53,)</f>
        <v>137658060.00231868</v>
      </c>
      <c r="L54" s="246">
        <f t="shared" ref="L54" si="96">SUM(L53,)</f>
        <v>145515046.30907416</v>
      </c>
      <c r="M54" s="246">
        <f t="shared" si="95"/>
        <v>145515045.99907416</v>
      </c>
      <c r="N54" s="246">
        <f t="shared" ref="N54" si="97">SUM(N53,)</f>
        <v>144692565.38669917</v>
      </c>
      <c r="O54" s="246">
        <f t="shared" si="95"/>
        <v>141933793.00907418</v>
      </c>
      <c r="P54" s="246">
        <f t="shared" si="93"/>
        <v>141933793.00907418</v>
      </c>
      <c r="Q54" s="246">
        <f t="shared" ref="Q54:R54" si="98">SUM(Q53,)</f>
        <v>146492580.44853666</v>
      </c>
      <c r="R54" s="246">
        <f t="shared" si="98"/>
        <v>146143773.49165541</v>
      </c>
      <c r="S54" s="774"/>
    </row>
    <row r="55" spans="1:26" ht="16.5" customHeight="1" x14ac:dyDescent="0.2">
      <c r="A55" s="4"/>
      <c r="B55" s="4"/>
      <c r="C55" s="4"/>
      <c r="D55" s="38"/>
      <c r="E55" s="93"/>
      <c r="F55" s="93"/>
      <c r="G55" s="93"/>
      <c r="H55" s="93"/>
      <c r="I55" s="93"/>
      <c r="J55" s="93"/>
      <c r="K55" s="93"/>
      <c r="L55" s="93"/>
      <c r="M55" s="93"/>
      <c r="N55" s="780">
        <v>144692565</v>
      </c>
      <c r="O55" s="93"/>
      <c r="P55" s="93"/>
      <c r="Q55" s="780">
        <v>146492580</v>
      </c>
      <c r="R55" s="780">
        <v>146143773</v>
      </c>
      <c r="S55" s="780"/>
      <c r="U55" s="210">
        <f>N55-N54</f>
        <v>-0.38669916987419128</v>
      </c>
      <c r="V55" s="210">
        <f>Q55-Q54</f>
        <v>-0.44853666424751282</v>
      </c>
      <c r="W55" s="210">
        <f>R55-R54</f>
        <v>-0.49165540933609009</v>
      </c>
    </row>
    <row r="56" spans="1:26" ht="12.75" customHeight="1" x14ac:dyDescent="0.2">
      <c r="A56" s="4"/>
      <c r="B56" s="4"/>
      <c r="C56" s="4"/>
      <c r="D56" s="38" t="s">
        <v>375</v>
      </c>
      <c r="E56" s="233"/>
      <c r="F56" s="233" t="e">
        <f>' 2021 - 2024 Comb Revenues A2'!E18-'ES CT Electric Table A  '!F54</f>
        <v>#VALUE!</v>
      </c>
      <c r="G56" s="233">
        <f>' 2021 - 2024 Comb Revenues A2'!F18-'ES CT Electric Table A  '!G54</f>
        <v>18834286.680000007</v>
      </c>
      <c r="H56" s="233">
        <f>' 2021 - 2024 Comb Revenues A2'!J18-'ES CT Electric Table A  '!H54</f>
        <v>16475640.687681317</v>
      </c>
      <c r="I56" s="233">
        <f>' 2021 - 2024 Comb Revenues A2'!I18-'ES CT Electric Table A  '!I54</f>
        <v>-154169297.30907416</v>
      </c>
      <c r="J56" s="233">
        <f>' 2021 - 2024 Comb Revenues A2'!J18-'ES CT Electric Table A  '!J54</f>
        <v>-4.9074172973632813E-2</v>
      </c>
      <c r="K56" s="233">
        <f>' 2021 - 2024 Comb Revenues A2'!F29-'ES CT Electric Table A  '!K54</f>
        <v>7856985.9976813197</v>
      </c>
      <c r="L56" s="233" t="e">
        <f>' 2021 - 2024 Comb Revenues A2'!E29-'ES CT Electric Table A  '!L54</f>
        <v>#VALUE!</v>
      </c>
      <c r="M56" s="233">
        <f>' 2021 - 2024 Comb Revenues A2'!F29-'ES CT Electric Table A  '!M54</f>
        <v>9.2583894729614258E-4</v>
      </c>
      <c r="N56" s="233">
        <f>' 2021 - 2024 Comb Revenues A2'!G29-'ES CT Electric Table A  '!N54</f>
        <v>-111822914.07669917</v>
      </c>
      <c r="O56" s="233">
        <f>' 2021 - 2024 Comb Revenues A2'!I29-'ES CT Electric Table A  '!O54</f>
        <v>-141933793.00907418</v>
      </c>
      <c r="P56" s="233">
        <f>' 2021 - 2024 Comb Revenues A2'!J29-'ES CT Electric Table A  '!P54</f>
        <v>-9.0741813182830811E-3</v>
      </c>
      <c r="Q56" s="233">
        <f>' 2021 - 2024 Comb Revenues A2'!K29-'ES CT Electric Table A  '!Q54</f>
        <v>-114531822.92853667</v>
      </c>
      <c r="R56" s="233">
        <f>' 2021 - 2024 Comb Revenues A2'!L29-'ES CT Electric Table A  '!R54</f>
        <v>27750777.028344601</v>
      </c>
      <c r="S56" s="233"/>
    </row>
    <row r="57" spans="1:26" x14ac:dyDescent="0.2">
      <c r="A57" s="13"/>
      <c r="B57" s="13"/>
      <c r="C57" s="13"/>
      <c r="D57" s="13"/>
      <c r="E57" s="234"/>
      <c r="F57" s="15"/>
      <c r="G57" s="15"/>
      <c r="H57" s="15"/>
      <c r="I57" s="15"/>
      <c r="J57" s="15"/>
      <c r="K57" s="15"/>
      <c r="L57" s="15"/>
      <c r="M57" s="15"/>
      <c r="N57" s="15"/>
      <c r="O57" s="15"/>
      <c r="P57" s="15"/>
      <c r="Q57" s="15"/>
      <c r="R57" s="15"/>
      <c r="S57" s="15"/>
    </row>
    <row r="58" spans="1:26" x14ac:dyDescent="0.2">
      <c r="A58" s="13"/>
      <c r="B58" s="13"/>
      <c r="C58" s="13"/>
      <c r="D58" s="38" t="s">
        <v>373</v>
      </c>
      <c r="E58" s="236">
        <f t="shared" ref="E58:P58" si="99">E54-E47-E46-E45-E43</f>
        <v>139224089.42000002</v>
      </c>
      <c r="F58" s="236">
        <f t="shared" ref="F58" si="100">F54-F47-F46-F45-F43</f>
        <v>153640653.57231867</v>
      </c>
      <c r="G58" s="236">
        <f t="shared" si="99"/>
        <v>153478391.34999999</v>
      </c>
      <c r="H58" s="236">
        <f t="shared" si="99"/>
        <v>141405356.57231867</v>
      </c>
      <c r="I58" s="236">
        <f t="shared" ref="I58" si="101">I54-I47-I46-I45-I43</f>
        <v>146012442.30907416</v>
      </c>
      <c r="J58" s="236">
        <f t="shared" si="99"/>
        <v>156261473.30907416</v>
      </c>
      <c r="K58" s="236">
        <f t="shared" si="99"/>
        <v>131073222.57231867</v>
      </c>
      <c r="L58" s="236">
        <f t="shared" ref="L58" si="102">L54-L47-L46-L45-L43</f>
        <v>137770298.30907416</v>
      </c>
      <c r="M58" s="236">
        <f t="shared" si="99"/>
        <v>137770297.99907416</v>
      </c>
      <c r="N58" s="236">
        <f>N54-N47-N46-N45-N43</f>
        <v>136986982.99907416</v>
      </c>
      <c r="O58" s="236">
        <f t="shared" ref="O58" si="103">O54-O47-O46-O45-O43</f>
        <v>134359581.00907418</v>
      </c>
      <c r="P58" s="236">
        <f t="shared" si="99"/>
        <v>134359581.00907418</v>
      </c>
      <c r="Q58" s="236">
        <f>Q54-Q47-Q46-Q45-Q43</f>
        <v>138701283.30907416</v>
      </c>
      <c r="R58" s="236">
        <f>R54-R47-R46-R45-R43</f>
        <v>138369086.20907417</v>
      </c>
      <c r="S58" s="786"/>
    </row>
    <row r="59" spans="1:26" x14ac:dyDescent="0.2">
      <c r="A59" s="13"/>
      <c r="B59" s="13"/>
      <c r="C59" s="13"/>
      <c r="D59" s="232" t="s">
        <v>374</v>
      </c>
      <c r="E59" s="236" t="s">
        <v>13</v>
      </c>
      <c r="F59" s="236">
        <f t="shared" ref="F59" si="104">F58*4.5%</f>
        <v>6913829.4107543398</v>
      </c>
      <c r="G59" s="236">
        <f t="shared" ref="G59:K59" si="105">G58*4.5%</f>
        <v>6906527.6107499991</v>
      </c>
      <c r="H59" s="236">
        <f t="shared" si="105"/>
        <v>6363241.0457543405</v>
      </c>
      <c r="I59" s="236">
        <f>I58*5%</f>
        <v>7300622.1154537089</v>
      </c>
      <c r="J59" s="236">
        <f>J58*5%</f>
        <v>7813073.6654537087</v>
      </c>
      <c r="K59" s="236">
        <f t="shared" si="105"/>
        <v>5898295.0157543402</v>
      </c>
      <c r="L59" s="236">
        <f>L58*5%</f>
        <v>6888514.9154537087</v>
      </c>
      <c r="M59" s="236">
        <f>M58*5%</f>
        <v>6888514.8999537081</v>
      </c>
      <c r="N59" s="236">
        <f>N58*5%</f>
        <v>6849349.1499537081</v>
      </c>
      <c r="O59" s="236">
        <f>O58*5%</f>
        <v>6717979.0504537094</v>
      </c>
      <c r="P59" s="236">
        <f>P58*5%</f>
        <v>6717979.0504537094</v>
      </c>
      <c r="Q59" s="236">
        <f t="shared" ref="Q59:R59" si="106">Q58*5%</f>
        <v>6935064.1654537087</v>
      </c>
      <c r="R59" s="236">
        <f t="shared" si="106"/>
        <v>6918454.3104537092</v>
      </c>
      <c r="S59" s="786"/>
    </row>
    <row r="60" spans="1:26" x14ac:dyDescent="0.2">
      <c r="A60" s="13"/>
      <c r="B60" s="13"/>
      <c r="C60" s="13"/>
      <c r="D60" s="13"/>
    </row>
    <row r="61" spans="1:26" x14ac:dyDescent="0.2">
      <c r="A61" s="13"/>
      <c r="B61" s="13"/>
      <c r="C61" s="13"/>
      <c r="D61" s="38" t="s">
        <v>372</v>
      </c>
      <c r="E61" s="88">
        <f>E54-E47</f>
        <v>139892028.84</v>
      </c>
      <c r="F61" s="88">
        <f t="shared" ref="F61" si="107">F54-F47</f>
        <v>154327195.57231867</v>
      </c>
      <c r="G61" s="88">
        <f t="shared" ref="G61:P61" si="108">G54-G47</f>
        <v>154189670.34999999</v>
      </c>
      <c r="H61" s="88">
        <f t="shared" ref="H61:I61" si="109">H54-H47</f>
        <v>142091898.57231867</v>
      </c>
      <c r="I61" s="88">
        <f t="shared" si="109"/>
        <v>146868675.30907416</v>
      </c>
      <c r="J61" s="88">
        <f t="shared" si="108"/>
        <v>157117706.30907416</v>
      </c>
      <c r="K61" s="88">
        <f t="shared" ref="K61:O61" si="110">K54-K47</f>
        <v>131759764.57231867</v>
      </c>
      <c r="L61" s="88">
        <f t="shared" ref="L61" si="111">L54-L47</f>
        <v>138626531.30907416</v>
      </c>
      <c r="M61" s="88">
        <f t="shared" si="110"/>
        <v>138626530.99907416</v>
      </c>
      <c r="N61" s="88">
        <f t="shared" ref="N61" si="112">N54-N47</f>
        <v>137843215.99907416</v>
      </c>
      <c r="O61" s="88">
        <f t="shared" si="110"/>
        <v>135215814.00907418</v>
      </c>
      <c r="P61" s="88">
        <f t="shared" si="108"/>
        <v>135215814.00907418</v>
      </c>
      <c r="Q61" s="88">
        <f t="shared" ref="Q61:R61" si="113">Q54-Q47</f>
        <v>139557516.30907416</v>
      </c>
      <c r="R61" s="88">
        <f t="shared" si="113"/>
        <v>139225319.20907417</v>
      </c>
      <c r="S61" s="88"/>
    </row>
    <row r="62" spans="1:26" x14ac:dyDescent="0.2">
      <c r="A62" s="13"/>
      <c r="B62" s="13"/>
      <c r="C62" s="13"/>
      <c r="D62" s="13"/>
    </row>
    <row r="63" spans="1:26" x14ac:dyDescent="0.2">
      <c r="A63" s="13"/>
      <c r="B63" s="13"/>
      <c r="C63" s="13"/>
      <c r="D63" s="13"/>
    </row>
    <row r="64" spans="1:26" x14ac:dyDescent="0.2">
      <c r="A64" s="13"/>
      <c r="B64" s="13"/>
      <c r="C64" s="13"/>
      <c r="D64" s="13"/>
      <c r="E64"/>
      <c r="F64"/>
      <c r="G64"/>
      <c r="H64"/>
      <c r="I64"/>
      <c r="J64"/>
      <c r="K64"/>
      <c r="L64"/>
      <c r="M64"/>
      <c r="N64" s="765"/>
      <c r="O64"/>
      <c r="P64"/>
      <c r="Q64" s="765"/>
      <c r="R64" s="765"/>
      <c r="S64" s="765"/>
    </row>
    <row r="65" spans="1:19" x14ac:dyDescent="0.2">
      <c r="A65" s="13"/>
      <c r="B65" s="13"/>
      <c r="C65" s="13"/>
      <c r="D65" s="13"/>
      <c r="E65"/>
      <c r="F65"/>
      <c r="G65"/>
      <c r="H65"/>
      <c r="I65"/>
      <c r="J65"/>
      <c r="K65"/>
      <c r="L65"/>
      <c r="M65"/>
      <c r="N65" s="765"/>
      <c r="O65"/>
      <c r="P65"/>
      <c r="Q65" s="765"/>
      <c r="R65" s="765"/>
      <c r="S65" s="765"/>
    </row>
    <row r="66" spans="1:19" x14ac:dyDescent="0.2">
      <c r="A66" s="13"/>
      <c r="B66" s="13"/>
      <c r="C66" s="13"/>
      <c r="D66" s="13"/>
      <c r="E66"/>
      <c r="F66"/>
      <c r="G66"/>
      <c r="H66"/>
      <c r="I66"/>
      <c r="J66"/>
      <c r="K66"/>
      <c r="L66"/>
      <c r="M66"/>
      <c r="N66" s="765"/>
      <c r="O66"/>
      <c r="P66"/>
      <c r="Q66" s="765"/>
      <c r="R66" s="765"/>
      <c r="S66" s="765"/>
    </row>
    <row r="67" spans="1:19" x14ac:dyDescent="0.2">
      <c r="A67" s="13"/>
      <c r="B67" s="13"/>
      <c r="C67" s="13"/>
      <c r="D67" s="13"/>
      <c r="E67"/>
      <c r="F67"/>
      <c r="G67"/>
      <c r="H67"/>
      <c r="I67"/>
      <c r="J67"/>
      <c r="K67"/>
      <c r="L67"/>
      <c r="M67"/>
      <c r="N67" s="765"/>
      <c r="O67"/>
      <c r="P67"/>
      <c r="Q67" s="765"/>
      <c r="R67" s="765"/>
      <c r="S67" s="765"/>
    </row>
    <row r="68" spans="1:19" x14ac:dyDescent="0.2">
      <c r="A68" s="13"/>
      <c r="B68" s="13"/>
      <c r="C68" s="13"/>
      <c r="D68" s="13"/>
      <c r="E68"/>
      <c r="F68"/>
      <c r="G68"/>
      <c r="H68"/>
      <c r="I68"/>
      <c r="J68"/>
      <c r="K68"/>
      <c r="L68"/>
      <c r="M68"/>
      <c r="N68" s="765"/>
      <c r="O68"/>
      <c r="P68"/>
      <c r="Q68" s="765"/>
      <c r="R68" s="765"/>
      <c r="S68" s="765"/>
    </row>
    <row r="69" spans="1:19" x14ac:dyDescent="0.2">
      <c r="A69" s="13"/>
      <c r="B69" s="13"/>
      <c r="C69" s="13"/>
      <c r="D69" s="13"/>
      <c r="E69"/>
      <c r="F69"/>
      <c r="G69"/>
      <c r="H69"/>
      <c r="I69"/>
      <c r="J69"/>
      <c r="K69"/>
      <c r="L69"/>
      <c r="M69"/>
      <c r="N69" s="765"/>
      <c r="O69"/>
      <c r="P69"/>
      <c r="Q69" s="765"/>
      <c r="R69" s="765"/>
      <c r="S69" s="765"/>
    </row>
    <row r="70" spans="1:19" x14ac:dyDescent="0.2">
      <c r="A70" s="13"/>
      <c r="B70" s="13"/>
      <c r="C70" s="13"/>
      <c r="D70" s="13"/>
      <c r="E70"/>
      <c r="F70"/>
      <c r="G70"/>
      <c r="H70"/>
      <c r="I70"/>
      <c r="J70"/>
      <c r="K70"/>
      <c r="L70"/>
      <c r="M70"/>
      <c r="N70" s="765"/>
      <c r="O70"/>
      <c r="P70"/>
      <c r="Q70" s="765"/>
      <c r="R70" s="765"/>
      <c r="S70" s="765"/>
    </row>
    <row r="71" spans="1:19" x14ac:dyDescent="0.2">
      <c r="A71" s="13"/>
      <c r="B71" s="13"/>
      <c r="C71" s="13"/>
      <c r="D71" s="13"/>
      <c r="E71"/>
      <c r="F71"/>
      <c r="G71"/>
      <c r="H71"/>
      <c r="I71"/>
      <c r="J71"/>
      <c r="K71"/>
      <c r="L71"/>
      <c r="M71"/>
      <c r="N71" s="765"/>
      <c r="O71"/>
      <c r="P71"/>
      <c r="Q71" s="765"/>
      <c r="R71" s="765"/>
      <c r="S71" s="765"/>
    </row>
    <row r="72" spans="1:19" x14ac:dyDescent="0.2">
      <c r="A72" s="13"/>
      <c r="B72" s="13"/>
      <c r="C72" s="13"/>
      <c r="D72" s="13"/>
      <c r="E72"/>
      <c r="F72"/>
      <c r="G72"/>
      <c r="H72"/>
      <c r="I72"/>
      <c r="J72"/>
      <c r="K72"/>
      <c r="L72"/>
      <c r="M72"/>
      <c r="N72" s="765"/>
      <c r="O72"/>
      <c r="P72"/>
      <c r="Q72" s="765"/>
      <c r="R72" s="765"/>
      <c r="S72" s="765"/>
    </row>
    <row r="73" spans="1:19" x14ac:dyDescent="0.2">
      <c r="A73" s="13"/>
      <c r="B73" s="13"/>
      <c r="C73" s="13"/>
      <c r="D73" s="13"/>
      <c r="E73"/>
      <c r="F73"/>
      <c r="G73"/>
      <c r="H73"/>
      <c r="I73"/>
      <c r="J73"/>
      <c r="K73"/>
      <c r="L73"/>
      <c r="M73"/>
      <c r="N73" s="765"/>
      <c r="O73"/>
      <c r="P73"/>
      <c r="Q73" s="765"/>
      <c r="R73" s="765"/>
      <c r="S73" s="765"/>
    </row>
    <row r="74" spans="1:19" x14ac:dyDescent="0.2">
      <c r="A74" s="13"/>
      <c r="B74" s="13"/>
      <c r="C74" s="13"/>
      <c r="D74" s="13"/>
      <c r="E74"/>
      <c r="F74"/>
      <c r="G74"/>
      <c r="H74"/>
      <c r="I74"/>
      <c r="J74"/>
      <c r="K74"/>
      <c r="L74"/>
      <c r="M74"/>
      <c r="N74" s="765"/>
      <c r="O74"/>
      <c r="P74"/>
      <c r="Q74" s="765"/>
      <c r="R74" s="765"/>
      <c r="S74" s="765"/>
    </row>
    <row r="75" spans="1:19" x14ac:dyDescent="0.2">
      <c r="A75" s="13"/>
      <c r="B75" s="13"/>
      <c r="C75" s="13"/>
      <c r="D75" s="13"/>
      <c r="E75"/>
      <c r="F75"/>
      <c r="G75"/>
      <c r="H75"/>
      <c r="I75"/>
      <c r="J75"/>
      <c r="K75"/>
      <c r="L75"/>
      <c r="M75"/>
      <c r="N75" s="765"/>
      <c r="O75"/>
      <c r="P75"/>
      <c r="Q75" s="765"/>
      <c r="R75" s="765"/>
      <c r="S75" s="765"/>
    </row>
    <row r="76" spans="1:19" x14ac:dyDescent="0.2">
      <c r="A76" s="13"/>
      <c r="B76" s="13"/>
      <c r="C76" s="13"/>
      <c r="D76" s="13"/>
      <c r="E76"/>
      <c r="F76"/>
      <c r="G76"/>
      <c r="H76"/>
      <c r="I76"/>
      <c r="J76"/>
      <c r="K76"/>
      <c r="L76"/>
      <c r="M76"/>
      <c r="N76" s="765"/>
      <c r="O76"/>
      <c r="P76"/>
      <c r="Q76" s="765"/>
      <c r="R76" s="765"/>
      <c r="S76" s="765"/>
    </row>
    <row r="77" spans="1:19" x14ac:dyDescent="0.2">
      <c r="A77" s="13"/>
      <c r="B77" s="13"/>
      <c r="C77" s="13"/>
      <c r="D77" s="13"/>
      <c r="E77"/>
      <c r="F77"/>
      <c r="G77"/>
      <c r="H77"/>
      <c r="I77"/>
      <c r="J77"/>
      <c r="K77"/>
      <c r="L77"/>
      <c r="M77"/>
      <c r="N77" s="765"/>
      <c r="O77"/>
      <c r="P77"/>
      <c r="Q77" s="765"/>
      <c r="R77" s="765"/>
      <c r="S77" s="765"/>
    </row>
    <row r="78" spans="1:19" x14ac:dyDescent="0.2">
      <c r="A78" s="13"/>
      <c r="B78" s="13"/>
      <c r="C78" s="13"/>
      <c r="D78" s="13"/>
      <c r="E78"/>
      <c r="F78"/>
      <c r="G78"/>
      <c r="H78"/>
      <c r="I78"/>
      <c r="J78"/>
      <c r="K78"/>
      <c r="L78"/>
      <c r="M78"/>
      <c r="N78" s="765"/>
      <c r="O78"/>
      <c r="P78"/>
      <c r="Q78" s="765"/>
      <c r="R78" s="765"/>
      <c r="S78" s="765"/>
    </row>
    <row r="79" spans="1:19" x14ac:dyDescent="0.2">
      <c r="A79" s="13"/>
      <c r="B79" s="13"/>
      <c r="C79" s="13"/>
      <c r="D79" s="13"/>
      <c r="E79"/>
      <c r="F79"/>
      <c r="G79"/>
      <c r="H79"/>
      <c r="I79"/>
      <c r="J79"/>
      <c r="K79"/>
      <c r="L79"/>
      <c r="M79"/>
      <c r="N79" s="765"/>
      <c r="O79"/>
      <c r="P79"/>
      <c r="Q79" s="765"/>
      <c r="R79" s="765"/>
      <c r="S79" s="765"/>
    </row>
    <row r="80" spans="1:19" x14ac:dyDescent="0.2">
      <c r="A80" s="13"/>
      <c r="B80" s="13"/>
      <c r="C80" s="13"/>
      <c r="D80" s="13"/>
      <c r="E80"/>
      <c r="F80"/>
      <c r="G80"/>
      <c r="H80"/>
      <c r="I80"/>
      <c r="J80"/>
      <c r="K80"/>
      <c r="L80"/>
      <c r="M80"/>
      <c r="N80" s="765"/>
      <c r="O80"/>
      <c r="P80"/>
      <c r="Q80" s="765"/>
      <c r="R80" s="765"/>
      <c r="S80" s="765"/>
    </row>
    <row r="81" spans="1:19" x14ac:dyDescent="0.2">
      <c r="A81" s="13"/>
      <c r="B81" s="13"/>
      <c r="C81" s="13"/>
      <c r="D81" s="13"/>
      <c r="E81"/>
      <c r="F81"/>
      <c r="G81"/>
      <c r="H81"/>
      <c r="I81"/>
      <c r="J81"/>
      <c r="K81"/>
      <c r="L81"/>
      <c r="M81"/>
      <c r="N81" s="765"/>
      <c r="O81"/>
      <c r="P81"/>
      <c r="Q81" s="765"/>
      <c r="R81" s="765"/>
      <c r="S81" s="765"/>
    </row>
    <row r="82" spans="1:19" x14ac:dyDescent="0.2">
      <c r="A82" s="13"/>
      <c r="B82" s="13"/>
      <c r="C82" s="13"/>
      <c r="D82" s="13"/>
      <c r="E82"/>
      <c r="F82"/>
      <c r="G82"/>
      <c r="H82"/>
      <c r="I82"/>
      <c r="J82"/>
      <c r="K82"/>
      <c r="L82"/>
      <c r="M82"/>
      <c r="N82" s="765"/>
      <c r="O82"/>
      <c r="P82"/>
      <c r="Q82" s="765"/>
      <c r="R82" s="765"/>
      <c r="S82" s="765"/>
    </row>
    <row r="83" spans="1:19" x14ac:dyDescent="0.2">
      <c r="A83" s="13"/>
      <c r="B83" s="13"/>
      <c r="C83" s="13"/>
      <c r="D83" s="13"/>
      <c r="E83"/>
      <c r="F83"/>
      <c r="G83"/>
      <c r="H83"/>
      <c r="I83"/>
      <c r="J83"/>
      <c r="K83"/>
      <c r="L83"/>
      <c r="M83"/>
      <c r="N83" s="765"/>
      <c r="O83"/>
      <c r="P83"/>
      <c r="Q83" s="765"/>
      <c r="R83" s="765"/>
      <c r="S83" s="765"/>
    </row>
    <row r="84" spans="1:19" x14ac:dyDescent="0.2">
      <c r="A84" s="13"/>
      <c r="B84" s="13"/>
      <c r="C84" s="13"/>
      <c r="D84" s="13"/>
      <c r="E84"/>
      <c r="F84"/>
      <c r="G84"/>
      <c r="H84"/>
      <c r="I84"/>
      <c r="J84"/>
      <c r="K84"/>
      <c r="L84"/>
      <c r="M84"/>
      <c r="N84" s="765"/>
      <c r="O84"/>
      <c r="P84"/>
      <c r="Q84" s="765"/>
      <c r="R84" s="765"/>
      <c r="S84" s="765"/>
    </row>
    <row r="85" spans="1:19" x14ac:dyDescent="0.2">
      <c r="A85" s="13"/>
      <c r="B85" s="13"/>
      <c r="C85" s="13"/>
      <c r="D85" s="13"/>
      <c r="E85"/>
      <c r="F85"/>
      <c r="G85"/>
      <c r="H85"/>
      <c r="I85"/>
      <c r="J85"/>
      <c r="K85"/>
      <c r="L85"/>
      <c r="M85"/>
      <c r="N85" s="765"/>
      <c r="O85"/>
      <c r="P85"/>
      <c r="Q85" s="765"/>
      <c r="R85" s="765"/>
      <c r="S85" s="765"/>
    </row>
    <row r="86" spans="1:19" x14ac:dyDescent="0.2">
      <c r="A86" s="13"/>
      <c r="B86" s="13"/>
      <c r="C86" s="13"/>
      <c r="D86" s="13"/>
      <c r="E86"/>
      <c r="F86"/>
      <c r="G86"/>
      <c r="H86"/>
      <c r="I86"/>
      <c r="J86"/>
      <c r="K86"/>
      <c r="L86"/>
      <c r="M86"/>
      <c r="N86" s="765"/>
      <c r="O86"/>
      <c r="P86"/>
      <c r="Q86" s="765"/>
      <c r="R86" s="765"/>
      <c r="S86" s="765"/>
    </row>
    <row r="87" spans="1:19" x14ac:dyDescent="0.2">
      <c r="A87" s="13"/>
      <c r="B87" s="13"/>
      <c r="C87" s="13"/>
      <c r="D87" s="13"/>
      <c r="E87"/>
      <c r="F87"/>
      <c r="G87"/>
      <c r="H87"/>
      <c r="I87"/>
      <c r="J87"/>
      <c r="K87"/>
      <c r="L87"/>
      <c r="M87"/>
      <c r="N87" s="765"/>
      <c r="O87"/>
      <c r="P87"/>
      <c r="Q87" s="765"/>
      <c r="R87" s="765"/>
      <c r="S87" s="765"/>
    </row>
    <row r="88" spans="1:19" x14ac:dyDescent="0.2">
      <c r="A88" s="13"/>
      <c r="B88" s="13"/>
      <c r="C88" s="13"/>
      <c r="D88" s="13"/>
      <c r="E88"/>
      <c r="F88"/>
      <c r="G88"/>
      <c r="H88"/>
      <c r="I88"/>
      <c r="J88"/>
      <c r="K88"/>
      <c r="L88"/>
      <c r="M88"/>
      <c r="N88" s="765"/>
      <c r="O88"/>
      <c r="P88"/>
      <c r="Q88" s="765"/>
      <c r="R88" s="765"/>
      <c r="S88" s="765"/>
    </row>
    <row r="89" spans="1:19" x14ac:dyDescent="0.2">
      <c r="A89" s="13"/>
      <c r="B89" s="13"/>
      <c r="C89" s="13"/>
      <c r="D89" s="13"/>
      <c r="E89"/>
      <c r="F89"/>
      <c r="G89"/>
      <c r="H89"/>
      <c r="I89"/>
      <c r="J89"/>
      <c r="K89"/>
      <c r="L89"/>
      <c r="M89"/>
      <c r="N89" s="765"/>
      <c r="O89"/>
      <c r="P89"/>
      <c r="Q89" s="765"/>
      <c r="R89" s="765"/>
      <c r="S89" s="765"/>
    </row>
    <row r="90" spans="1:19" x14ac:dyDescent="0.2">
      <c r="A90" s="13"/>
      <c r="B90" s="13"/>
      <c r="C90" s="13"/>
      <c r="D90" s="13"/>
      <c r="E90"/>
      <c r="F90"/>
      <c r="G90"/>
      <c r="H90"/>
      <c r="I90"/>
      <c r="J90"/>
      <c r="K90"/>
      <c r="L90"/>
      <c r="M90"/>
      <c r="N90" s="765"/>
      <c r="O90"/>
      <c r="P90"/>
      <c r="Q90" s="765"/>
      <c r="R90" s="765"/>
      <c r="S90" s="765"/>
    </row>
    <row r="91" spans="1:19" x14ac:dyDescent="0.2">
      <c r="A91" s="13"/>
      <c r="B91" s="13"/>
      <c r="C91" s="13"/>
      <c r="D91" s="13"/>
      <c r="E91"/>
      <c r="F91"/>
      <c r="G91"/>
      <c r="H91"/>
      <c r="I91"/>
      <c r="J91"/>
      <c r="K91"/>
      <c r="L91"/>
      <c r="M91"/>
      <c r="N91" s="765"/>
      <c r="O91"/>
      <c r="P91"/>
      <c r="Q91" s="765"/>
      <c r="R91" s="765"/>
      <c r="S91" s="765"/>
    </row>
    <row r="92" spans="1:19" x14ac:dyDescent="0.2">
      <c r="A92" s="13"/>
      <c r="B92" s="13"/>
      <c r="C92" s="13"/>
      <c r="D92" s="13"/>
      <c r="E92"/>
      <c r="F92"/>
      <c r="G92"/>
      <c r="H92"/>
      <c r="I92"/>
      <c r="J92"/>
      <c r="K92"/>
      <c r="L92"/>
      <c r="M92"/>
      <c r="N92" s="765"/>
      <c r="O92"/>
      <c r="P92"/>
      <c r="Q92" s="765"/>
      <c r="R92" s="765"/>
      <c r="S92" s="765"/>
    </row>
    <row r="93" spans="1:19" x14ac:dyDescent="0.2">
      <c r="A93" s="13"/>
      <c r="B93" s="13"/>
      <c r="C93" s="13"/>
      <c r="D93" s="13"/>
      <c r="E93"/>
      <c r="F93"/>
      <c r="G93"/>
      <c r="H93"/>
      <c r="I93"/>
      <c r="J93"/>
      <c r="K93"/>
      <c r="L93"/>
      <c r="M93"/>
      <c r="N93" s="765"/>
      <c r="O93"/>
      <c r="P93"/>
      <c r="Q93" s="765"/>
      <c r="R93" s="765"/>
      <c r="S93" s="765"/>
    </row>
    <row r="94" spans="1:19" x14ac:dyDescent="0.2">
      <c r="A94" s="13"/>
      <c r="B94" s="13"/>
      <c r="C94" s="13"/>
      <c r="D94" s="13"/>
      <c r="E94"/>
      <c r="F94"/>
      <c r="G94"/>
      <c r="H94"/>
      <c r="I94"/>
      <c r="J94"/>
      <c r="K94"/>
      <c r="L94"/>
      <c r="M94"/>
      <c r="N94" s="765"/>
      <c r="O94"/>
      <c r="P94"/>
      <c r="Q94" s="765"/>
      <c r="R94" s="765"/>
      <c r="S94" s="765"/>
    </row>
    <row r="95" spans="1:19" x14ac:dyDescent="0.2">
      <c r="A95" s="13"/>
      <c r="B95" s="13"/>
      <c r="C95" s="13"/>
      <c r="D95" s="13"/>
      <c r="E95"/>
      <c r="F95"/>
      <c r="G95"/>
      <c r="H95"/>
      <c r="I95"/>
      <c r="J95"/>
      <c r="K95"/>
      <c r="L95"/>
      <c r="M95"/>
      <c r="N95" s="765"/>
      <c r="O95"/>
      <c r="P95"/>
      <c r="Q95" s="765"/>
      <c r="R95" s="765"/>
      <c r="S95" s="765"/>
    </row>
    <row r="96" spans="1:19" x14ac:dyDescent="0.2">
      <c r="A96" s="13"/>
      <c r="B96" s="13"/>
      <c r="C96" s="13"/>
      <c r="D96" s="13"/>
      <c r="E96"/>
      <c r="F96"/>
      <c r="G96"/>
      <c r="H96"/>
      <c r="I96"/>
      <c r="J96"/>
      <c r="K96"/>
      <c r="L96"/>
      <c r="M96"/>
      <c r="N96" s="765"/>
      <c r="O96"/>
      <c r="P96"/>
      <c r="Q96" s="765"/>
      <c r="R96" s="765"/>
      <c r="S96" s="765"/>
    </row>
    <row r="97" spans="1:19" x14ac:dyDescent="0.2">
      <c r="A97" s="13"/>
      <c r="B97" s="13"/>
      <c r="C97" s="13"/>
      <c r="D97" s="13"/>
      <c r="E97"/>
      <c r="F97"/>
      <c r="G97"/>
      <c r="H97"/>
      <c r="I97"/>
      <c r="J97"/>
      <c r="K97"/>
      <c r="L97"/>
      <c r="M97"/>
      <c r="N97" s="765"/>
      <c r="O97"/>
      <c r="P97"/>
      <c r="Q97" s="765"/>
      <c r="R97" s="765"/>
      <c r="S97" s="765"/>
    </row>
    <row r="98" spans="1:19" x14ac:dyDescent="0.2">
      <c r="A98" s="13"/>
      <c r="B98" s="13"/>
      <c r="C98" s="13"/>
      <c r="D98" s="13"/>
      <c r="E98"/>
      <c r="F98"/>
      <c r="G98"/>
      <c r="H98"/>
      <c r="I98"/>
      <c r="J98"/>
      <c r="K98"/>
      <c r="L98"/>
      <c r="M98"/>
      <c r="N98" s="765"/>
      <c r="O98"/>
      <c r="P98"/>
      <c r="Q98" s="765"/>
      <c r="R98" s="765"/>
      <c r="S98" s="765"/>
    </row>
    <row r="99" spans="1:19" x14ac:dyDescent="0.2">
      <c r="A99" s="13"/>
      <c r="B99" s="13"/>
      <c r="C99" s="13"/>
      <c r="D99" s="13"/>
      <c r="E99"/>
      <c r="F99"/>
      <c r="G99"/>
      <c r="H99"/>
      <c r="I99"/>
      <c r="J99"/>
      <c r="K99"/>
      <c r="L99"/>
      <c r="M99"/>
      <c r="N99" s="765"/>
      <c r="O99"/>
      <c r="P99"/>
      <c r="Q99" s="765"/>
      <c r="R99" s="765"/>
      <c r="S99" s="765"/>
    </row>
    <row r="100" spans="1:19" x14ac:dyDescent="0.2">
      <c r="A100" s="13"/>
      <c r="B100" s="13"/>
      <c r="C100" s="13"/>
      <c r="D100" s="13"/>
      <c r="E100"/>
      <c r="F100"/>
      <c r="G100"/>
      <c r="H100"/>
      <c r="I100"/>
      <c r="J100"/>
      <c r="K100"/>
      <c r="L100"/>
      <c r="M100"/>
      <c r="N100" s="765"/>
      <c r="O100"/>
      <c r="P100"/>
      <c r="Q100" s="765"/>
      <c r="R100" s="765"/>
      <c r="S100" s="765"/>
    </row>
    <row r="101" spans="1:19" x14ac:dyDescent="0.2">
      <c r="A101" s="13"/>
      <c r="B101" s="13"/>
      <c r="C101" s="13"/>
      <c r="D101" s="13"/>
      <c r="E101"/>
      <c r="F101"/>
      <c r="G101"/>
      <c r="H101"/>
      <c r="I101"/>
      <c r="J101"/>
      <c r="K101"/>
      <c r="L101"/>
      <c r="M101"/>
      <c r="N101" s="765"/>
      <c r="O101"/>
      <c r="P101"/>
      <c r="Q101" s="765"/>
      <c r="R101" s="765"/>
      <c r="S101" s="765"/>
    </row>
    <row r="102" spans="1:19" x14ac:dyDescent="0.2">
      <c r="A102" s="13"/>
      <c r="B102" s="13"/>
      <c r="C102" s="13"/>
      <c r="D102" s="13"/>
      <c r="E102"/>
      <c r="F102"/>
      <c r="G102"/>
      <c r="H102"/>
      <c r="I102"/>
      <c r="J102"/>
      <c r="K102"/>
      <c r="L102"/>
      <c r="M102"/>
      <c r="N102" s="765"/>
      <c r="O102"/>
      <c r="P102"/>
      <c r="Q102" s="765"/>
      <c r="R102" s="765"/>
      <c r="S102" s="765"/>
    </row>
    <row r="103" spans="1:19" x14ac:dyDescent="0.2">
      <c r="A103" s="13"/>
      <c r="B103" s="13"/>
      <c r="C103" s="13"/>
      <c r="D103" s="13"/>
      <c r="E103"/>
      <c r="F103"/>
      <c r="G103"/>
      <c r="H103"/>
      <c r="I103"/>
      <c r="J103"/>
      <c r="K103"/>
      <c r="L103"/>
      <c r="M103"/>
      <c r="N103" s="765"/>
      <c r="O103"/>
      <c r="P103"/>
      <c r="Q103" s="765"/>
      <c r="R103" s="765"/>
      <c r="S103" s="765"/>
    </row>
    <row r="104" spans="1:19" x14ac:dyDescent="0.2">
      <c r="A104" s="13"/>
      <c r="B104" s="13"/>
      <c r="C104" s="13"/>
      <c r="D104" s="13"/>
      <c r="E104"/>
      <c r="F104"/>
      <c r="G104"/>
      <c r="H104"/>
      <c r="I104"/>
      <c r="J104"/>
      <c r="K104"/>
      <c r="L104"/>
      <c r="M104"/>
      <c r="N104" s="765"/>
      <c r="O104"/>
      <c r="P104"/>
      <c r="Q104" s="765"/>
      <c r="R104" s="765"/>
      <c r="S104" s="765"/>
    </row>
    <row r="105" spans="1:19" x14ac:dyDescent="0.2">
      <c r="A105" s="13"/>
      <c r="B105" s="13"/>
      <c r="C105" s="13"/>
      <c r="D105" s="13"/>
      <c r="E105"/>
      <c r="F105"/>
      <c r="G105"/>
      <c r="H105"/>
      <c r="I105"/>
      <c r="J105"/>
      <c r="K105"/>
      <c r="L105"/>
      <c r="M105"/>
      <c r="N105" s="765"/>
      <c r="O105"/>
      <c r="P105"/>
      <c r="Q105" s="765"/>
      <c r="R105" s="765"/>
      <c r="S105" s="765"/>
    </row>
    <row r="106" spans="1:19" x14ac:dyDescent="0.2">
      <c r="A106" s="13"/>
      <c r="B106" s="13"/>
      <c r="C106" s="13"/>
      <c r="D106" s="13"/>
      <c r="E106"/>
      <c r="F106"/>
      <c r="G106"/>
      <c r="H106"/>
      <c r="I106"/>
      <c r="J106"/>
      <c r="K106"/>
      <c r="L106"/>
      <c r="M106"/>
      <c r="N106" s="765"/>
      <c r="O106"/>
      <c r="P106"/>
      <c r="Q106" s="765"/>
      <c r="R106" s="765"/>
      <c r="S106" s="765"/>
    </row>
    <row r="107" spans="1:19" x14ac:dyDescent="0.2">
      <c r="A107" s="13"/>
      <c r="B107" s="13"/>
      <c r="C107" s="13"/>
      <c r="D107" s="13"/>
      <c r="E107"/>
      <c r="F107"/>
      <c r="G107"/>
      <c r="H107"/>
      <c r="I107"/>
      <c r="J107"/>
      <c r="K107"/>
      <c r="L107"/>
      <c r="M107"/>
      <c r="N107" s="765"/>
      <c r="O107"/>
      <c r="P107"/>
      <c r="Q107" s="765"/>
      <c r="R107" s="765"/>
      <c r="S107" s="765"/>
    </row>
    <row r="108" spans="1:19" x14ac:dyDescent="0.2">
      <c r="A108" s="13"/>
      <c r="B108" s="13"/>
      <c r="C108" s="13"/>
      <c r="D108" s="13"/>
      <c r="E108"/>
      <c r="F108"/>
      <c r="G108"/>
      <c r="H108"/>
      <c r="I108"/>
      <c r="J108"/>
      <c r="K108"/>
      <c r="L108"/>
      <c r="M108"/>
      <c r="N108" s="765"/>
      <c r="O108"/>
      <c r="P108"/>
      <c r="Q108" s="765"/>
      <c r="R108" s="765"/>
      <c r="S108" s="765"/>
    </row>
    <row r="109" spans="1:19" x14ac:dyDescent="0.2">
      <c r="A109" s="13"/>
      <c r="B109" s="13"/>
      <c r="C109" s="13"/>
      <c r="D109" s="13"/>
      <c r="E109"/>
      <c r="F109"/>
      <c r="G109"/>
      <c r="H109"/>
      <c r="I109"/>
      <c r="J109"/>
      <c r="K109"/>
      <c r="L109"/>
      <c r="M109"/>
      <c r="N109" s="765"/>
      <c r="O109"/>
      <c r="P109"/>
      <c r="Q109" s="765"/>
      <c r="R109" s="765"/>
      <c r="S109" s="765"/>
    </row>
    <row r="110" spans="1:19" x14ac:dyDescent="0.2">
      <c r="A110" s="13"/>
      <c r="B110" s="13"/>
      <c r="C110" s="13"/>
      <c r="D110" s="13"/>
      <c r="E110"/>
      <c r="F110"/>
      <c r="G110"/>
      <c r="H110"/>
      <c r="I110"/>
      <c r="J110"/>
      <c r="K110"/>
      <c r="L110"/>
      <c r="M110"/>
      <c r="N110" s="765"/>
      <c r="O110"/>
      <c r="P110"/>
      <c r="Q110" s="765"/>
      <c r="R110" s="765"/>
      <c r="S110" s="765"/>
    </row>
    <row r="111" spans="1:19" x14ac:dyDescent="0.2">
      <c r="A111" s="13"/>
      <c r="B111" s="13"/>
      <c r="C111" s="13"/>
      <c r="D111" s="13"/>
      <c r="E111"/>
      <c r="F111"/>
      <c r="G111"/>
      <c r="H111"/>
      <c r="I111"/>
      <c r="J111"/>
      <c r="K111"/>
      <c r="L111"/>
      <c r="M111"/>
      <c r="N111" s="765"/>
      <c r="O111"/>
      <c r="P111"/>
      <c r="Q111" s="765"/>
      <c r="R111" s="765"/>
      <c r="S111" s="765"/>
    </row>
    <row r="112" spans="1:19" x14ac:dyDescent="0.2">
      <c r="A112" s="13"/>
      <c r="B112" s="13"/>
      <c r="C112" s="13"/>
      <c r="D112" s="13"/>
      <c r="E112"/>
      <c r="F112"/>
      <c r="G112"/>
      <c r="H112"/>
      <c r="I112"/>
      <c r="J112"/>
      <c r="K112"/>
      <c r="L112"/>
      <c r="M112"/>
      <c r="N112" s="765"/>
      <c r="O112"/>
      <c r="P112"/>
      <c r="Q112" s="765"/>
      <c r="R112" s="765"/>
      <c r="S112" s="765"/>
    </row>
    <row r="113" spans="1:19" x14ac:dyDescent="0.2">
      <c r="A113" s="13"/>
      <c r="B113" s="13"/>
      <c r="C113" s="13"/>
      <c r="D113" s="13"/>
      <c r="E113"/>
      <c r="F113"/>
      <c r="G113"/>
      <c r="H113"/>
      <c r="I113"/>
      <c r="J113"/>
      <c r="K113"/>
      <c r="L113"/>
      <c r="M113"/>
      <c r="N113" s="765"/>
      <c r="O113"/>
      <c r="P113"/>
      <c r="Q113" s="765"/>
      <c r="R113" s="765"/>
      <c r="S113" s="765"/>
    </row>
    <row r="114" spans="1:19" x14ac:dyDescent="0.2">
      <c r="A114" s="13"/>
      <c r="B114" s="13"/>
      <c r="C114" s="13"/>
      <c r="D114" s="13"/>
      <c r="E114"/>
      <c r="F114"/>
      <c r="G114"/>
      <c r="H114"/>
      <c r="I114"/>
      <c r="J114"/>
      <c r="K114"/>
      <c r="L114"/>
      <c r="M114"/>
      <c r="N114" s="765"/>
      <c r="O114"/>
      <c r="P114"/>
      <c r="Q114" s="765"/>
      <c r="R114" s="765"/>
      <c r="S114" s="765"/>
    </row>
    <row r="115" spans="1:19" x14ac:dyDescent="0.2">
      <c r="A115" s="13"/>
      <c r="B115" s="13"/>
      <c r="C115" s="13"/>
      <c r="D115" s="13"/>
      <c r="E115"/>
      <c r="F115"/>
      <c r="G115"/>
      <c r="H115"/>
      <c r="I115"/>
      <c r="J115"/>
      <c r="K115"/>
      <c r="L115"/>
      <c r="M115"/>
      <c r="N115" s="765"/>
      <c r="O115"/>
      <c r="P115"/>
      <c r="Q115" s="765"/>
      <c r="R115" s="765"/>
      <c r="S115" s="765"/>
    </row>
    <row r="116" spans="1:19" x14ac:dyDescent="0.2">
      <c r="A116" s="13"/>
      <c r="B116" s="13"/>
      <c r="C116" s="13"/>
      <c r="D116" s="13"/>
      <c r="E116"/>
      <c r="F116"/>
      <c r="G116"/>
      <c r="H116"/>
      <c r="I116"/>
      <c r="J116"/>
      <c r="K116"/>
      <c r="L116"/>
      <c r="M116"/>
      <c r="N116" s="765"/>
      <c r="O116"/>
      <c r="P116"/>
      <c r="Q116" s="765"/>
      <c r="R116" s="765"/>
      <c r="S116" s="765"/>
    </row>
    <row r="117" spans="1:19" x14ac:dyDescent="0.2">
      <c r="A117" s="13"/>
      <c r="B117" s="13"/>
      <c r="C117" s="13"/>
      <c r="D117" s="13"/>
      <c r="E117"/>
      <c r="F117"/>
      <c r="G117"/>
      <c r="H117"/>
      <c r="I117"/>
      <c r="J117"/>
      <c r="K117"/>
      <c r="L117"/>
      <c r="M117"/>
      <c r="N117" s="765"/>
      <c r="O117"/>
      <c r="P117"/>
      <c r="Q117" s="765"/>
      <c r="R117" s="765"/>
      <c r="S117" s="765"/>
    </row>
    <row r="118" spans="1:19" x14ac:dyDescent="0.2">
      <c r="A118" s="13"/>
      <c r="B118" s="13"/>
      <c r="C118" s="13"/>
      <c r="D118" s="13"/>
      <c r="E118"/>
      <c r="F118"/>
      <c r="G118"/>
      <c r="H118"/>
      <c r="I118"/>
      <c r="J118"/>
      <c r="K118"/>
      <c r="L118"/>
      <c r="M118"/>
      <c r="N118" s="765"/>
      <c r="O118"/>
      <c r="P118"/>
      <c r="Q118" s="765"/>
      <c r="R118" s="765"/>
      <c r="S118" s="765"/>
    </row>
    <row r="119" spans="1:19" x14ac:dyDescent="0.2">
      <c r="A119" s="13"/>
      <c r="B119" s="13"/>
      <c r="C119" s="13"/>
      <c r="D119" s="13"/>
      <c r="E119"/>
      <c r="F119"/>
      <c r="G119"/>
      <c r="H119"/>
      <c r="I119"/>
      <c r="J119"/>
      <c r="K119"/>
      <c r="L119"/>
      <c r="M119"/>
      <c r="N119" s="765"/>
      <c r="O119"/>
      <c r="P119"/>
      <c r="Q119" s="765"/>
      <c r="R119" s="765"/>
      <c r="S119" s="765"/>
    </row>
    <row r="120" spans="1:19" x14ac:dyDescent="0.2">
      <c r="A120" s="13"/>
      <c r="B120" s="13"/>
      <c r="C120" s="13"/>
      <c r="D120" s="13"/>
      <c r="E120"/>
      <c r="F120"/>
      <c r="G120"/>
      <c r="H120"/>
      <c r="I120"/>
      <c r="J120"/>
      <c r="K120"/>
      <c r="L120"/>
      <c r="M120"/>
      <c r="N120" s="765"/>
      <c r="O120"/>
      <c r="P120"/>
      <c r="Q120" s="765"/>
      <c r="R120" s="765"/>
      <c r="S120" s="765"/>
    </row>
    <row r="121" spans="1:19" x14ac:dyDescent="0.2">
      <c r="A121" s="13"/>
      <c r="B121" s="13"/>
      <c r="C121" s="13"/>
      <c r="D121" s="13"/>
      <c r="E121"/>
      <c r="F121"/>
      <c r="G121"/>
      <c r="H121"/>
      <c r="I121"/>
      <c r="J121"/>
      <c r="K121"/>
      <c r="L121"/>
      <c r="M121"/>
      <c r="N121" s="765"/>
      <c r="O121"/>
      <c r="P121"/>
      <c r="Q121" s="765"/>
      <c r="R121" s="765"/>
      <c r="S121" s="765"/>
    </row>
    <row r="122" spans="1:19" x14ac:dyDescent="0.2">
      <c r="A122" s="13"/>
      <c r="B122" s="13"/>
      <c r="C122" s="13"/>
      <c r="D122" s="13"/>
      <c r="E122"/>
      <c r="F122"/>
      <c r="G122"/>
      <c r="H122"/>
      <c r="I122"/>
      <c r="J122"/>
      <c r="K122"/>
      <c r="L122"/>
      <c r="M122"/>
      <c r="N122" s="765"/>
      <c r="O122"/>
      <c r="P122"/>
      <c r="Q122" s="765"/>
      <c r="R122" s="765"/>
      <c r="S122" s="765"/>
    </row>
    <row r="123" spans="1:19" x14ac:dyDescent="0.2">
      <c r="A123" s="13"/>
      <c r="B123" s="13"/>
      <c r="C123" s="13"/>
      <c r="D123" s="13"/>
      <c r="E123"/>
      <c r="F123"/>
      <c r="G123"/>
      <c r="H123"/>
      <c r="I123"/>
      <c r="J123"/>
      <c r="K123"/>
      <c r="L123"/>
      <c r="M123"/>
      <c r="N123" s="765"/>
      <c r="O123"/>
      <c r="P123"/>
      <c r="Q123" s="765"/>
      <c r="R123" s="765"/>
      <c r="S123" s="765"/>
    </row>
    <row r="124" spans="1:19" x14ac:dyDescent="0.2">
      <c r="A124" s="13"/>
      <c r="B124" s="13"/>
      <c r="C124" s="13"/>
      <c r="D124" s="13"/>
      <c r="E124"/>
      <c r="F124"/>
      <c r="G124"/>
      <c r="H124"/>
      <c r="I124"/>
      <c r="J124"/>
      <c r="K124"/>
      <c r="L124"/>
      <c r="M124"/>
      <c r="N124" s="765"/>
      <c r="O124"/>
      <c r="P124"/>
      <c r="Q124" s="765"/>
      <c r="R124" s="765"/>
      <c r="S124" s="765"/>
    </row>
    <row r="125" spans="1:19" x14ac:dyDescent="0.2">
      <c r="A125" s="13"/>
      <c r="B125" s="13"/>
      <c r="C125" s="13"/>
      <c r="D125" s="13"/>
      <c r="E125"/>
      <c r="F125"/>
      <c r="G125"/>
      <c r="H125"/>
      <c r="I125"/>
      <c r="J125"/>
      <c r="K125"/>
      <c r="L125"/>
      <c r="M125"/>
      <c r="N125" s="765"/>
      <c r="O125"/>
      <c r="P125"/>
      <c r="Q125" s="765"/>
      <c r="R125" s="765"/>
      <c r="S125" s="765"/>
    </row>
    <row r="126" spans="1:19" x14ac:dyDescent="0.2">
      <c r="A126" s="13"/>
      <c r="B126" s="13"/>
      <c r="C126" s="13"/>
      <c r="D126" s="13"/>
      <c r="E126"/>
      <c r="F126"/>
      <c r="G126"/>
      <c r="H126"/>
      <c r="I126"/>
      <c r="J126"/>
      <c r="K126"/>
      <c r="L126"/>
      <c r="M126"/>
      <c r="N126" s="765"/>
      <c r="O126"/>
      <c r="P126"/>
      <c r="Q126" s="765"/>
      <c r="R126" s="765"/>
      <c r="S126" s="765"/>
    </row>
    <row r="127" spans="1:19" x14ac:dyDescent="0.2">
      <c r="A127" s="13"/>
      <c r="B127" s="13"/>
      <c r="C127" s="13"/>
      <c r="D127" s="13"/>
      <c r="E127"/>
      <c r="F127"/>
      <c r="G127"/>
      <c r="H127"/>
      <c r="I127"/>
      <c r="J127"/>
      <c r="K127"/>
      <c r="L127"/>
      <c r="M127"/>
      <c r="N127" s="765"/>
      <c r="O127"/>
      <c r="P127"/>
      <c r="Q127" s="765"/>
      <c r="R127" s="765"/>
      <c r="S127" s="765"/>
    </row>
    <row r="128" spans="1:19" x14ac:dyDescent="0.2">
      <c r="A128" s="13"/>
      <c r="B128" s="13"/>
      <c r="C128" s="13"/>
      <c r="D128" s="13"/>
      <c r="E128"/>
      <c r="F128"/>
      <c r="G128"/>
      <c r="H128"/>
      <c r="I128"/>
      <c r="J128"/>
      <c r="K128"/>
      <c r="L128"/>
      <c r="M128"/>
      <c r="N128" s="765"/>
      <c r="O128"/>
      <c r="P128"/>
      <c r="Q128" s="765"/>
      <c r="R128" s="765"/>
      <c r="S128" s="765"/>
    </row>
    <row r="129" spans="1:19" x14ac:dyDescent="0.2">
      <c r="A129" s="13"/>
      <c r="B129" s="13"/>
      <c r="C129" s="13"/>
      <c r="D129" s="13"/>
      <c r="E129"/>
      <c r="F129"/>
      <c r="G129"/>
      <c r="H129"/>
      <c r="I129"/>
      <c r="J129"/>
      <c r="K129"/>
      <c r="L129"/>
      <c r="M129"/>
      <c r="N129" s="765"/>
      <c r="O129"/>
      <c r="P129"/>
      <c r="Q129" s="765"/>
      <c r="R129" s="765"/>
      <c r="S129" s="765"/>
    </row>
    <row r="130" spans="1:19" x14ac:dyDescent="0.2">
      <c r="A130" s="13"/>
      <c r="B130" s="13"/>
      <c r="C130" s="13"/>
      <c r="D130" s="13"/>
      <c r="E130"/>
      <c r="F130"/>
      <c r="G130"/>
      <c r="H130"/>
      <c r="I130"/>
      <c r="J130"/>
      <c r="K130"/>
      <c r="L130"/>
      <c r="M130"/>
      <c r="N130" s="765"/>
      <c r="O130"/>
      <c r="P130"/>
      <c r="Q130" s="765"/>
      <c r="R130" s="765"/>
      <c r="S130" s="765"/>
    </row>
    <row r="131" spans="1:19" x14ac:dyDescent="0.2">
      <c r="A131" s="13"/>
      <c r="B131" s="13"/>
      <c r="C131" s="13"/>
      <c r="D131" s="13"/>
      <c r="E131"/>
      <c r="F131"/>
      <c r="G131"/>
      <c r="H131"/>
      <c r="I131"/>
      <c r="J131"/>
      <c r="K131"/>
      <c r="L131"/>
      <c r="M131"/>
      <c r="N131" s="765"/>
      <c r="O131"/>
      <c r="P131"/>
      <c r="Q131" s="765"/>
      <c r="R131" s="765"/>
      <c r="S131" s="765"/>
    </row>
    <row r="132" spans="1:19" x14ac:dyDescent="0.2">
      <c r="A132" s="13"/>
      <c r="B132" s="13"/>
      <c r="C132" s="13"/>
      <c r="D132" s="13"/>
      <c r="E132"/>
      <c r="F132"/>
      <c r="G132"/>
      <c r="H132"/>
      <c r="I132"/>
      <c r="J132"/>
      <c r="K132"/>
      <c r="L132"/>
      <c r="M132"/>
      <c r="N132" s="765"/>
      <c r="O132"/>
      <c r="P132"/>
      <c r="Q132" s="765"/>
      <c r="R132" s="765"/>
      <c r="S132" s="765"/>
    </row>
    <row r="133" spans="1:19" x14ac:dyDescent="0.2">
      <c r="A133" s="13"/>
      <c r="B133" s="13"/>
      <c r="C133" s="13"/>
      <c r="D133" s="13"/>
      <c r="E133"/>
      <c r="F133"/>
      <c r="G133"/>
      <c r="H133"/>
      <c r="I133"/>
      <c r="J133"/>
      <c r="K133"/>
      <c r="L133"/>
      <c r="M133"/>
      <c r="N133" s="765"/>
      <c r="O133"/>
      <c r="P133"/>
      <c r="Q133" s="765"/>
      <c r="R133" s="765"/>
      <c r="S133" s="765"/>
    </row>
    <row r="134" spans="1:19" x14ac:dyDescent="0.2">
      <c r="A134" s="13"/>
      <c r="B134" s="13"/>
      <c r="C134" s="13"/>
      <c r="D134" s="13"/>
      <c r="E134"/>
      <c r="F134"/>
      <c r="G134"/>
      <c r="H134"/>
      <c r="I134"/>
      <c r="J134"/>
      <c r="K134"/>
      <c r="L134"/>
      <c r="M134"/>
      <c r="N134" s="765"/>
      <c r="O134"/>
      <c r="P134"/>
      <c r="Q134" s="765"/>
      <c r="R134" s="765"/>
      <c r="S134" s="765"/>
    </row>
    <row r="135" spans="1:19" x14ac:dyDescent="0.2">
      <c r="A135" s="13"/>
      <c r="B135" s="13"/>
      <c r="C135" s="13"/>
      <c r="D135" s="13"/>
      <c r="E135"/>
      <c r="F135"/>
      <c r="G135"/>
      <c r="H135"/>
      <c r="I135"/>
      <c r="J135"/>
      <c r="K135"/>
      <c r="L135"/>
      <c r="M135"/>
      <c r="N135" s="765"/>
      <c r="O135"/>
      <c r="P135"/>
      <c r="Q135" s="765"/>
      <c r="R135" s="765"/>
      <c r="S135" s="765"/>
    </row>
    <row r="136" spans="1:19" x14ac:dyDescent="0.2">
      <c r="A136" s="13"/>
      <c r="B136" s="13"/>
      <c r="C136" s="13"/>
      <c r="D136" s="13"/>
      <c r="E136"/>
      <c r="F136"/>
      <c r="G136"/>
      <c r="H136"/>
      <c r="I136"/>
      <c r="J136"/>
      <c r="K136"/>
      <c r="L136"/>
      <c r="M136"/>
      <c r="N136" s="765"/>
      <c r="O136"/>
      <c r="P136"/>
      <c r="Q136" s="765"/>
      <c r="R136" s="765"/>
      <c r="S136" s="765"/>
    </row>
    <row r="137" spans="1:19" x14ac:dyDescent="0.2">
      <c r="A137" s="13"/>
      <c r="B137" s="13"/>
      <c r="C137" s="13"/>
      <c r="D137" s="13"/>
      <c r="E137"/>
      <c r="F137"/>
      <c r="G137"/>
      <c r="H137"/>
      <c r="I137"/>
      <c r="J137"/>
      <c r="K137"/>
      <c r="L137"/>
      <c r="M137"/>
      <c r="N137" s="765"/>
      <c r="O137"/>
      <c r="P137"/>
      <c r="Q137" s="765"/>
      <c r="R137" s="765"/>
      <c r="S137" s="765"/>
    </row>
    <row r="138" spans="1:19" x14ac:dyDescent="0.2">
      <c r="A138" s="13"/>
      <c r="B138" s="13"/>
      <c r="C138" s="13"/>
      <c r="D138" s="13"/>
      <c r="E138"/>
      <c r="F138"/>
      <c r="G138"/>
      <c r="H138"/>
      <c r="I138"/>
      <c r="J138"/>
      <c r="K138"/>
      <c r="L138"/>
      <c r="M138"/>
      <c r="N138" s="765"/>
      <c r="O138"/>
      <c r="P138"/>
      <c r="Q138" s="765"/>
      <c r="R138" s="765"/>
      <c r="S138" s="765"/>
    </row>
    <row r="139" spans="1:19" x14ac:dyDescent="0.2">
      <c r="A139" s="13"/>
      <c r="B139" s="13"/>
      <c r="C139" s="13"/>
      <c r="D139" s="13"/>
      <c r="E139"/>
      <c r="F139"/>
      <c r="G139"/>
      <c r="H139"/>
      <c r="I139"/>
      <c r="J139"/>
      <c r="K139"/>
      <c r="L139"/>
      <c r="M139"/>
      <c r="N139" s="765"/>
      <c r="O139"/>
      <c r="P139"/>
      <c r="Q139" s="765"/>
      <c r="R139" s="765"/>
      <c r="S139" s="765"/>
    </row>
    <row r="140" spans="1:19" x14ac:dyDescent="0.2">
      <c r="A140" s="13"/>
      <c r="B140" s="13"/>
      <c r="C140" s="13"/>
      <c r="D140" s="13"/>
      <c r="E140"/>
      <c r="F140"/>
      <c r="G140"/>
      <c r="H140"/>
      <c r="I140"/>
      <c r="J140"/>
      <c r="K140"/>
      <c r="L140"/>
      <c r="M140"/>
      <c r="N140" s="765"/>
      <c r="O140"/>
      <c r="P140"/>
      <c r="Q140" s="765"/>
      <c r="R140" s="765"/>
      <c r="S140" s="765"/>
    </row>
    <row r="141" spans="1:19" x14ac:dyDescent="0.2">
      <c r="A141" s="13"/>
      <c r="B141" s="13"/>
      <c r="C141" s="13"/>
      <c r="D141" s="13"/>
      <c r="E141"/>
      <c r="F141"/>
      <c r="G141"/>
      <c r="H141"/>
      <c r="I141"/>
      <c r="J141"/>
      <c r="K141"/>
      <c r="L141"/>
      <c r="M141"/>
      <c r="N141" s="765"/>
      <c r="O141"/>
      <c r="P141"/>
      <c r="Q141" s="765"/>
      <c r="R141" s="765"/>
      <c r="S141" s="765"/>
    </row>
    <row r="142" spans="1:19" x14ac:dyDescent="0.2">
      <c r="A142" s="13"/>
      <c r="B142" s="13"/>
      <c r="C142" s="13"/>
      <c r="D142" s="13"/>
      <c r="E142"/>
      <c r="F142"/>
      <c r="G142"/>
      <c r="H142"/>
      <c r="I142"/>
      <c r="J142"/>
      <c r="K142"/>
      <c r="L142"/>
      <c r="M142"/>
      <c r="N142" s="765"/>
      <c r="O142"/>
      <c r="P142"/>
      <c r="Q142" s="765"/>
      <c r="R142" s="765"/>
      <c r="S142" s="765"/>
    </row>
    <row r="143" spans="1:19" x14ac:dyDescent="0.2">
      <c r="A143" s="13"/>
      <c r="B143" s="13"/>
      <c r="C143" s="13"/>
      <c r="D143" s="13"/>
      <c r="E143"/>
      <c r="F143"/>
      <c r="G143"/>
      <c r="H143"/>
      <c r="I143"/>
      <c r="J143"/>
      <c r="K143"/>
      <c r="L143"/>
      <c r="M143"/>
      <c r="N143" s="765"/>
      <c r="O143"/>
      <c r="P143"/>
      <c r="Q143" s="765"/>
      <c r="R143" s="765"/>
      <c r="S143" s="765"/>
    </row>
    <row r="144" spans="1:19" x14ac:dyDescent="0.2">
      <c r="A144" s="13"/>
      <c r="B144" s="13"/>
      <c r="C144" s="13"/>
      <c r="D144" s="13"/>
      <c r="E144"/>
      <c r="F144"/>
      <c r="G144"/>
      <c r="H144"/>
      <c r="I144"/>
      <c r="J144"/>
      <c r="K144"/>
      <c r="L144"/>
      <c r="M144"/>
      <c r="N144" s="765"/>
      <c r="O144"/>
      <c r="P144"/>
      <c r="Q144" s="765"/>
      <c r="R144" s="765"/>
      <c r="S144" s="765"/>
    </row>
    <row r="145" spans="1:19" x14ac:dyDescent="0.2">
      <c r="A145" s="13"/>
      <c r="B145" s="13"/>
      <c r="C145" s="13"/>
      <c r="D145" s="13"/>
      <c r="E145"/>
      <c r="F145"/>
      <c r="G145"/>
      <c r="H145"/>
      <c r="I145"/>
      <c r="J145"/>
      <c r="K145"/>
      <c r="L145"/>
      <c r="M145"/>
      <c r="N145" s="765"/>
      <c r="O145"/>
      <c r="P145"/>
      <c r="Q145" s="765"/>
      <c r="R145" s="765"/>
      <c r="S145" s="765"/>
    </row>
    <row r="146" spans="1:19" x14ac:dyDescent="0.2">
      <c r="A146" s="13"/>
      <c r="B146" s="13"/>
      <c r="C146" s="13"/>
      <c r="D146" s="13"/>
      <c r="E146"/>
      <c r="F146"/>
      <c r="G146"/>
      <c r="H146"/>
      <c r="I146"/>
      <c r="J146"/>
      <c r="K146"/>
      <c r="L146"/>
      <c r="M146"/>
      <c r="N146" s="765"/>
      <c r="O146"/>
      <c r="P146"/>
      <c r="Q146" s="765"/>
      <c r="R146" s="765"/>
      <c r="S146" s="765"/>
    </row>
    <row r="147" spans="1:19" x14ac:dyDescent="0.2">
      <c r="A147" s="13"/>
      <c r="B147" s="13"/>
      <c r="C147" s="13"/>
      <c r="D147" s="13"/>
      <c r="E147"/>
      <c r="F147"/>
      <c r="G147"/>
      <c r="H147"/>
      <c r="I147"/>
      <c r="J147"/>
      <c r="K147"/>
      <c r="L147"/>
      <c r="M147"/>
      <c r="N147" s="765"/>
      <c r="O147"/>
      <c r="P147"/>
      <c r="Q147" s="765"/>
      <c r="R147" s="765"/>
      <c r="S147" s="765"/>
    </row>
    <row r="148" spans="1:19" x14ac:dyDescent="0.2">
      <c r="A148" s="13"/>
      <c r="B148" s="13"/>
      <c r="C148" s="13"/>
      <c r="D148" s="13"/>
      <c r="E148"/>
      <c r="F148"/>
      <c r="G148"/>
      <c r="H148"/>
      <c r="I148"/>
      <c r="J148"/>
      <c r="K148"/>
      <c r="L148"/>
      <c r="M148"/>
      <c r="N148" s="765"/>
      <c r="O148"/>
      <c r="P148"/>
      <c r="Q148" s="765"/>
      <c r="R148" s="765"/>
      <c r="S148" s="765"/>
    </row>
    <row r="149" spans="1:19" x14ac:dyDescent="0.2">
      <c r="A149" s="13"/>
      <c r="B149" s="13"/>
      <c r="C149" s="13"/>
      <c r="D149" s="13"/>
      <c r="E149"/>
      <c r="F149"/>
      <c r="G149"/>
      <c r="H149"/>
      <c r="I149"/>
      <c r="J149"/>
      <c r="K149"/>
      <c r="L149"/>
      <c r="M149"/>
      <c r="N149" s="765"/>
      <c r="O149"/>
      <c r="P149"/>
      <c r="Q149" s="765"/>
      <c r="R149" s="765"/>
      <c r="S149" s="765"/>
    </row>
    <row r="150" spans="1:19" x14ac:dyDescent="0.2">
      <c r="A150" s="13"/>
      <c r="B150" s="13"/>
      <c r="C150" s="13"/>
      <c r="D150" s="13"/>
      <c r="E150"/>
      <c r="F150"/>
      <c r="G150"/>
      <c r="H150"/>
      <c r="I150"/>
      <c r="J150"/>
      <c r="K150"/>
      <c r="L150"/>
      <c r="M150"/>
      <c r="N150" s="765"/>
      <c r="O150"/>
      <c r="P150"/>
      <c r="Q150" s="765"/>
      <c r="R150" s="765"/>
      <c r="S150" s="765"/>
    </row>
    <row r="151" spans="1:19" x14ac:dyDescent="0.2">
      <c r="A151" s="13"/>
      <c r="B151" s="13"/>
      <c r="C151" s="13"/>
      <c r="D151" s="13"/>
      <c r="E151"/>
      <c r="F151"/>
      <c r="G151"/>
      <c r="H151"/>
      <c r="I151"/>
      <c r="J151"/>
      <c r="K151"/>
      <c r="L151"/>
      <c r="M151"/>
      <c r="N151" s="765"/>
      <c r="O151"/>
      <c r="P151"/>
      <c r="Q151" s="765"/>
      <c r="R151" s="765"/>
      <c r="S151" s="765"/>
    </row>
    <row r="152" spans="1:19" x14ac:dyDescent="0.2">
      <c r="A152" s="13"/>
      <c r="B152" s="13"/>
      <c r="C152" s="13"/>
      <c r="D152" s="13"/>
      <c r="E152"/>
      <c r="F152"/>
      <c r="G152"/>
      <c r="H152"/>
      <c r="I152"/>
      <c r="J152"/>
      <c r="K152"/>
      <c r="L152"/>
      <c r="M152"/>
      <c r="N152" s="765"/>
      <c r="O152"/>
      <c r="P152"/>
      <c r="Q152" s="765"/>
      <c r="R152" s="765"/>
      <c r="S152" s="765"/>
    </row>
    <row r="153" spans="1:19" x14ac:dyDescent="0.2">
      <c r="A153" s="13"/>
      <c r="B153" s="13"/>
      <c r="C153" s="13"/>
      <c r="D153" s="13"/>
      <c r="E153"/>
      <c r="F153"/>
      <c r="G153"/>
      <c r="H153"/>
      <c r="I153"/>
      <c r="J153"/>
      <c r="K153"/>
      <c r="L153"/>
      <c r="M153"/>
      <c r="N153" s="765"/>
      <c r="O153"/>
      <c r="P153"/>
      <c r="Q153" s="765"/>
      <c r="R153" s="765"/>
      <c r="S153" s="765"/>
    </row>
    <row r="154" spans="1:19" x14ac:dyDescent="0.2">
      <c r="A154" s="13"/>
      <c r="B154" s="13"/>
      <c r="C154" s="13"/>
      <c r="D154" s="13"/>
      <c r="E154"/>
      <c r="F154"/>
      <c r="G154"/>
      <c r="H154"/>
      <c r="I154"/>
      <c r="J154"/>
      <c r="K154"/>
      <c r="L154"/>
      <c r="M154"/>
      <c r="N154" s="765"/>
      <c r="O154"/>
      <c r="P154"/>
      <c r="Q154" s="765"/>
      <c r="R154" s="765"/>
      <c r="S154" s="765"/>
    </row>
    <row r="155" spans="1:19" x14ac:dyDescent="0.2">
      <c r="A155" s="13"/>
      <c r="B155" s="13"/>
      <c r="C155" s="13"/>
      <c r="D155" s="13"/>
      <c r="E155"/>
      <c r="F155"/>
      <c r="G155"/>
      <c r="H155"/>
      <c r="I155"/>
      <c r="J155"/>
      <c r="K155"/>
      <c r="L155"/>
      <c r="M155"/>
      <c r="N155" s="765"/>
      <c r="O155"/>
      <c r="P155"/>
      <c r="Q155" s="765"/>
      <c r="R155" s="765"/>
      <c r="S155" s="765"/>
    </row>
    <row r="156" spans="1:19" x14ac:dyDescent="0.2">
      <c r="A156" s="13"/>
      <c r="B156" s="13"/>
      <c r="C156" s="13"/>
      <c r="D156" s="13"/>
      <c r="E156"/>
      <c r="F156"/>
      <c r="G156"/>
      <c r="H156"/>
      <c r="I156"/>
      <c r="J156"/>
      <c r="K156"/>
      <c r="L156"/>
      <c r="M156"/>
      <c r="N156" s="765"/>
      <c r="O156"/>
      <c r="P156"/>
      <c r="Q156" s="765"/>
      <c r="R156" s="765"/>
      <c r="S156" s="765"/>
    </row>
    <row r="157" spans="1:19" x14ac:dyDescent="0.2">
      <c r="A157" s="13"/>
      <c r="B157" s="13"/>
      <c r="C157" s="13"/>
      <c r="D157" s="13"/>
      <c r="E157"/>
      <c r="F157"/>
      <c r="G157"/>
      <c r="H157"/>
      <c r="I157"/>
      <c r="J157"/>
      <c r="K157"/>
      <c r="L157"/>
      <c r="M157"/>
      <c r="N157" s="765"/>
      <c r="O157"/>
      <c r="P157"/>
      <c r="Q157" s="765"/>
      <c r="R157" s="765"/>
      <c r="S157" s="765"/>
    </row>
    <row r="158" spans="1:19" x14ac:dyDescent="0.2">
      <c r="A158" s="13"/>
      <c r="B158" s="13"/>
      <c r="C158" s="13"/>
      <c r="D158" s="13"/>
      <c r="E158"/>
      <c r="F158"/>
      <c r="G158"/>
      <c r="H158"/>
      <c r="I158"/>
      <c r="J158"/>
      <c r="K158"/>
      <c r="L158"/>
      <c r="M158"/>
      <c r="N158" s="765"/>
      <c r="O158"/>
      <c r="P158"/>
      <c r="Q158" s="765"/>
      <c r="R158" s="765"/>
      <c r="S158" s="765"/>
    </row>
    <row r="159" spans="1:19" x14ac:dyDescent="0.2">
      <c r="A159" s="13"/>
      <c r="B159" s="13"/>
      <c r="C159" s="13"/>
      <c r="D159" s="13"/>
      <c r="E159"/>
      <c r="F159"/>
      <c r="G159"/>
      <c r="H159"/>
      <c r="I159"/>
      <c r="J159"/>
      <c r="K159"/>
      <c r="L159"/>
      <c r="M159"/>
      <c r="N159" s="765"/>
      <c r="O159"/>
      <c r="P159"/>
      <c r="Q159" s="765"/>
      <c r="R159" s="765"/>
      <c r="S159" s="765"/>
    </row>
    <row r="160" spans="1:19" x14ac:dyDescent="0.2">
      <c r="A160" s="13"/>
      <c r="B160" s="13"/>
      <c r="C160" s="13"/>
      <c r="D160" s="13"/>
      <c r="E160"/>
      <c r="F160"/>
      <c r="G160"/>
      <c r="H160"/>
      <c r="I160"/>
      <c r="J160"/>
      <c r="K160"/>
      <c r="L160"/>
      <c r="M160"/>
      <c r="N160" s="765"/>
      <c r="O160"/>
      <c r="P160"/>
      <c r="Q160" s="765"/>
      <c r="R160" s="765"/>
      <c r="S160" s="765"/>
    </row>
    <row r="161" spans="1:19" x14ac:dyDescent="0.2">
      <c r="A161" s="13"/>
      <c r="B161" s="13"/>
      <c r="C161" s="13"/>
      <c r="D161" s="13"/>
      <c r="E161"/>
      <c r="F161"/>
      <c r="G161"/>
      <c r="H161"/>
      <c r="I161"/>
      <c r="J161"/>
      <c r="K161"/>
      <c r="L161"/>
      <c r="M161"/>
      <c r="N161" s="765"/>
      <c r="O161"/>
      <c r="P161"/>
      <c r="Q161" s="765"/>
      <c r="R161" s="765"/>
      <c r="S161" s="765"/>
    </row>
    <row r="162" spans="1:19" x14ac:dyDescent="0.2">
      <c r="A162" s="13"/>
      <c r="B162" s="13"/>
      <c r="C162" s="13"/>
      <c r="D162" s="13"/>
      <c r="E162"/>
      <c r="F162"/>
      <c r="G162"/>
      <c r="H162"/>
      <c r="I162"/>
      <c r="J162"/>
      <c r="K162"/>
      <c r="L162"/>
      <c r="M162"/>
      <c r="N162" s="765"/>
      <c r="O162"/>
      <c r="P162"/>
      <c r="Q162" s="765"/>
      <c r="R162" s="765"/>
      <c r="S162" s="765"/>
    </row>
    <row r="163" spans="1:19" x14ac:dyDescent="0.2">
      <c r="A163" s="13"/>
      <c r="B163" s="13"/>
      <c r="C163" s="13"/>
      <c r="D163" s="13"/>
      <c r="E163"/>
      <c r="F163"/>
      <c r="G163"/>
      <c r="H163"/>
      <c r="I163"/>
      <c r="J163"/>
      <c r="K163"/>
      <c r="L163"/>
      <c r="M163"/>
      <c r="N163" s="765"/>
      <c r="O163"/>
      <c r="P163"/>
      <c r="Q163" s="765"/>
      <c r="R163" s="765"/>
      <c r="S163" s="765"/>
    </row>
    <row r="164" spans="1:19" x14ac:dyDescent="0.2">
      <c r="A164" s="13"/>
      <c r="B164" s="13"/>
      <c r="C164" s="13"/>
      <c r="D164" s="13"/>
      <c r="E164"/>
      <c r="F164"/>
      <c r="G164"/>
      <c r="H164"/>
      <c r="I164"/>
      <c r="J164"/>
      <c r="K164"/>
      <c r="L164"/>
      <c r="M164"/>
      <c r="N164" s="765"/>
      <c r="O164"/>
      <c r="P164"/>
      <c r="Q164" s="765"/>
      <c r="R164" s="765"/>
      <c r="S164" s="765"/>
    </row>
    <row r="165" spans="1:19" x14ac:dyDescent="0.2">
      <c r="A165" s="13"/>
      <c r="B165" s="13"/>
      <c r="C165" s="13"/>
      <c r="D165" s="13"/>
      <c r="E165"/>
      <c r="F165"/>
      <c r="G165"/>
      <c r="H165"/>
      <c r="I165"/>
      <c r="J165"/>
      <c r="K165"/>
      <c r="L165"/>
      <c r="M165"/>
      <c r="N165" s="765"/>
      <c r="O165"/>
      <c r="P165"/>
      <c r="Q165" s="765"/>
      <c r="R165" s="765"/>
      <c r="S165" s="765"/>
    </row>
    <row r="166" spans="1:19" x14ac:dyDescent="0.2">
      <c r="A166" s="13"/>
      <c r="B166" s="13"/>
      <c r="C166" s="13"/>
      <c r="D166" s="13"/>
      <c r="E166"/>
      <c r="F166"/>
      <c r="G166"/>
      <c r="H166"/>
      <c r="I166"/>
      <c r="J166"/>
      <c r="K166"/>
      <c r="L166"/>
      <c r="M166"/>
      <c r="N166" s="765"/>
      <c r="O166"/>
      <c r="P166"/>
      <c r="Q166" s="765"/>
      <c r="R166" s="765"/>
      <c r="S166" s="765"/>
    </row>
    <row r="167" spans="1:19" x14ac:dyDescent="0.2">
      <c r="A167" s="13"/>
      <c r="B167" s="13"/>
      <c r="C167" s="13"/>
      <c r="D167" s="13"/>
      <c r="E167"/>
      <c r="F167"/>
      <c r="G167"/>
      <c r="H167"/>
      <c r="I167"/>
      <c r="J167"/>
      <c r="K167"/>
      <c r="L167"/>
      <c r="M167"/>
      <c r="N167" s="765"/>
      <c r="O167"/>
      <c r="P167"/>
      <c r="Q167" s="765"/>
      <c r="R167" s="765"/>
      <c r="S167" s="765"/>
    </row>
    <row r="168" spans="1:19" x14ac:dyDescent="0.2">
      <c r="A168" s="13"/>
      <c r="B168" s="13"/>
      <c r="C168" s="13"/>
      <c r="D168" s="13"/>
      <c r="E168"/>
      <c r="F168"/>
      <c r="G168"/>
      <c r="H168"/>
      <c r="I168"/>
      <c r="J168"/>
      <c r="K168"/>
      <c r="L168"/>
      <c r="M168"/>
      <c r="N168" s="765"/>
      <c r="O168"/>
      <c r="P168"/>
      <c r="Q168" s="765"/>
      <c r="R168" s="765"/>
      <c r="S168" s="765"/>
    </row>
    <row r="169" spans="1:19" x14ac:dyDescent="0.2">
      <c r="A169" s="13"/>
      <c r="B169" s="13"/>
      <c r="C169" s="13"/>
      <c r="D169" s="13"/>
      <c r="E169"/>
      <c r="F169"/>
      <c r="G169"/>
      <c r="H169"/>
      <c r="I169"/>
      <c r="J169"/>
      <c r="K169"/>
      <c r="L169"/>
      <c r="M169"/>
      <c r="N169" s="765"/>
      <c r="O169"/>
      <c r="P169"/>
      <c r="Q169" s="765"/>
      <c r="R169" s="765"/>
      <c r="S169" s="765"/>
    </row>
    <row r="170" spans="1:19" x14ac:dyDescent="0.2">
      <c r="A170" s="13"/>
      <c r="B170" s="13"/>
      <c r="C170" s="13"/>
      <c r="D170" s="13"/>
      <c r="E170"/>
      <c r="F170"/>
      <c r="G170"/>
      <c r="H170"/>
      <c r="I170"/>
      <c r="J170"/>
      <c r="K170"/>
      <c r="L170"/>
      <c r="M170"/>
      <c r="N170" s="765"/>
      <c r="O170"/>
      <c r="P170"/>
      <c r="Q170" s="765"/>
      <c r="R170" s="765"/>
      <c r="S170" s="765"/>
    </row>
    <row r="171" spans="1:19" x14ac:dyDescent="0.2">
      <c r="A171" s="13"/>
      <c r="B171" s="13"/>
      <c r="C171" s="13"/>
      <c r="D171" s="13"/>
      <c r="E171"/>
      <c r="F171"/>
      <c r="G171"/>
      <c r="H171"/>
      <c r="I171"/>
      <c r="J171"/>
      <c r="K171"/>
      <c r="L171"/>
      <c r="M171"/>
      <c r="N171" s="765"/>
      <c r="O171"/>
      <c r="P171"/>
      <c r="Q171" s="765"/>
      <c r="R171" s="765"/>
      <c r="S171" s="765"/>
    </row>
    <row r="172" spans="1:19" x14ac:dyDescent="0.2">
      <c r="A172" s="13"/>
      <c r="B172" s="13"/>
      <c r="C172" s="13"/>
      <c r="D172" s="13"/>
      <c r="E172"/>
      <c r="F172"/>
      <c r="G172"/>
      <c r="H172"/>
      <c r="I172"/>
      <c r="J172"/>
      <c r="K172"/>
      <c r="L172"/>
      <c r="M172"/>
      <c r="N172" s="765"/>
      <c r="O172"/>
      <c r="P172"/>
      <c r="Q172" s="765"/>
      <c r="R172" s="765"/>
      <c r="S172" s="765"/>
    </row>
    <row r="173" spans="1:19" x14ac:dyDescent="0.2">
      <c r="A173" s="13"/>
      <c r="B173" s="13"/>
      <c r="C173" s="13"/>
      <c r="D173" s="13"/>
      <c r="E173"/>
      <c r="F173"/>
      <c r="G173"/>
      <c r="H173"/>
      <c r="I173"/>
      <c r="J173"/>
      <c r="K173"/>
      <c r="L173"/>
      <c r="M173"/>
      <c r="N173" s="765"/>
      <c r="O173"/>
      <c r="P173"/>
      <c r="Q173" s="765"/>
      <c r="R173" s="765"/>
      <c r="S173" s="765"/>
    </row>
    <row r="174" spans="1:19" x14ac:dyDescent="0.2">
      <c r="A174" s="13"/>
      <c r="B174" s="13"/>
      <c r="C174" s="13"/>
      <c r="D174" s="13"/>
      <c r="E174"/>
      <c r="F174"/>
      <c r="G174"/>
      <c r="H174"/>
      <c r="I174"/>
      <c r="J174"/>
      <c r="K174"/>
      <c r="L174"/>
      <c r="M174"/>
      <c r="N174" s="765"/>
      <c r="O174"/>
      <c r="P174"/>
      <c r="Q174" s="765"/>
      <c r="R174" s="765"/>
      <c r="S174" s="765"/>
    </row>
    <row r="175" spans="1:19" x14ac:dyDescent="0.2">
      <c r="A175" s="13"/>
      <c r="B175" s="13"/>
      <c r="C175" s="13"/>
      <c r="D175" s="13"/>
      <c r="E175"/>
      <c r="F175"/>
      <c r="G175"/>
      <c r="H175"/>
      <c r="I175"/>
      <c r="J175"/>
      <c r="K175"/>
      <c r="L175"/>
      <c r="M175"/>
      <c r="N175" s="765"/>
      <c r="O175"/>
      <c r="P175"/>
      <c r="Q175" s="765"/>
      <c r="R175" s="765"/>
      <c r="S175" s="765"/>
    </row>
    <row r="176" spans="1:19" x14ac:dyDescent="0.2">
      <c r="A176" s="13"/>
      <c r="B176" s="13"/>
      <c r="C176" s="13"/>
      <c r="D176" s="13"/>
      <c r="E176"/>
      <c r="F176"/>
      <c r="G176"/>
      <c r="H176"/>
      <c r="I176"/>
      <c r="J176"/>
      <c r="K176"/>
      <c r="L176"/>
      <c r="M176"/>
      <c r="N176" s="765"/>
      <c r="O176"/>
      <c r="P176"/>
      <c r="Q176" s="765"/>
      <c r="R176" s="765"/>
      <c r="S176" s="765"/>
    </row>
    <row r="177" spans="1:19" x14ac:dyDescent="0.2">
      <c r="A177" s="13"/>
      <c r="B177" s="13"/>
      <c r="C177" s="13"/>
      <c r="D177" s="13"/>
      <c r="E177"/>
      <c r="F177"/>
      <c r="G177"/>
      <c r="H177"/>
      <c r="I177"/>
      <c r="J177"/>
      <c r="K177"/>
      <c r="L177"/>
      <c r="M177"/>
      <c r="N177" s="765"/>
      <c r="O177"/>
      <c r="P177"/>
      <c r="Q177" s="765"/>
      <c r="R177" s="765"/>
      <c r="S177" s="765"/>
    </row>
    <row r="178" spans="1:19" x14ac:dyDescent="0.2">
      <c r="A178" s="13"/>
      <c r="B178" s="13"/>
      <c r="C178" s="13"/>
      <c r="D178" s="13"/>
      <c r="E178"/>
      <c r="F178"/>
      <c r="G178"/>
      <c r="H178"/>
      <c r="I178"/>
      <c r="J178"/>
      <c r="K178"/>
      <c r="L178"/>
      <c r="M178"/>
      <c r="N178" s="765"/>
      <c r="O178"/>
      <c r="P178"/>
      <c r="Q178" s="765"/>
      <c r="R178" s="765"/>
      <c r="S178" s="765"/>
    </row>
    <row r="179" spans="1:19" x14ac:dyDescent="0.2">
      <c r="A179" s="13"/>
      <c r="B179" s="13"/>
      <c r="C179" s="13"/>
      <c r="D179" s="13"/>
      <c r="E179"/>
      <c r="F179"/>
      <c r="G179"/>
      <c r="H179"/>
      <c r="I179"/>
      <c r="J179"/>
      <c r="K179"/>
      <c r="L179"/>
      <c r="M179"/>
      <c r="N179" s="765"/>
      <c r="O179"/>
      <c r="P179"/>
      <c r="Q179" s="765"/>
      <c r="R179" s="765"/>
      <c r="S179" s="765"/>
    </row>
    <row r="180" spans="1:19" x14ac:dyDescent="0.2">
      <c r="A180" s="13"/>
      <c r="B180" s="13"/>
      <c r="C180" s="13"/>
      <c r="D180" s="13"/>
      <c r="E180"/>
      <c r="F180"/>
      <c r="G180"/>
      <c r="H180"/>
      <c r="I180"/>
      <c r="J180"/>
      <c r="K180"/>
      <c r="L180"/>
      <c r="M180"/>
      <c r="N180" s="765"/>
      <c r="O180"/>
      <c r="P180"/>
      <c r="Q180" s="765"/>
      <c r="R180" s="765"/>
      <c r="S180" s="765"/>
    </row>
    <row r="181" spans="1:19" x14ac:dyDescent="0.2">
      <c r="A181" s="13"/>
      <c r="B181" s="13"/>
      <c r="C181" s="13"/>
      <c r="D181" s="13"/>
      <c r="E181"/>
      <c r="F181"/>
      <c r="G181"/>
      <c r="H181"/>
      <c r="I181"/>
      <c r="J181"/>
      <c r="K181"/>
      <c r="L181"/>
      <c r="M181"/>
      <c r="N181" s="765"/>
      <c r="O181"/>
      <c r="P181"/>
      <c r="Q181" s="765"/>
      <c r="R181" s="765"/>
      <c r="S181" s="765"/>
    </row>
    <row r="182" spans="1:19" x14ac:dyDescent="0.2">
      <c r="A182" s="13"/>
      <c r="B182" s="13"/>
      <c r="C182" s="13"/>
      <c r="D182" s="13"/>
      <c r="E182"/>
      <c r="F182"/>
      <c r="G182"/>
      <c r="H182"/>
      <c r="I182"/>
      <c r="J182"/>
      <c r="K182"/>
      <c r="L182"/>
      <c r="M182"/>
      <c r="N182" s="765"/>
      <c r="O182"/>
      <c r="P182"/>
      <c r="Q182" s="765"/>
      <c r="R182" s="765"/>
      <c r="S182" s="765"/>
    </row>
    <row r="183" spans="1:19" x14ac:dyDescent="0.2">
      <c r="A183" s="13"/>
      <c r="B183" s="13"/>
      <c r="C183" s="13"/>
      <c r="D183" s="13"/>
      <c r="E183"/>
      <c r="F183"/>
      <c r="G183"/>
      <c r="H183"/>
      <c r="I183"/>
      <c r="J183"/>
      <c r="K183"/>
      <c r="L183"/>
      <c r="M183"/>
      <c r="N183" s="765"/>
      <c r="O183"/>
      <c r="P183"/>
      <c r="Q183" s="765"/>
      <c r="R183" s="765"/>
      <c r="S183" s="765"/>
    </row>
    <row r="184" spans="1:19" x14ac:dyDescent="0.2">
      <c r="A184" s="13"/>
      <c r="B184" s="13"/>
      <c r="C184" s="13"/>
      <c r="D184" s="13"/>
      <c r="E184"/>
      <c r="F184"/>
      <c r="G184"/>
      <c r="H184"/>
      <c r="I184"/>
      <c r="J184"/>
      <c r="K184"/>
      <c r="L184"/>
      <c r="M184"/>
      <c r="N184" s="765"/>
      <c r="O184"/>
      <c r="P184"/>
      <c r="Q184" s="765"/>
      <c r="R184" s="765"/>
      <c r="S184" s="765"/>
    </row>
    <row r="185" spans="1:19" x14ac:dyDescent="0.2">
      <c r="A185" s="13"/>
      <c r="B185" s="13"/>
      <c r="C185" s="13"/>
      <c r="D185" s="13"/>
      <c r="E185"/>
      <c r="F185"/>
      <c r="G185"/>
      <c r="H185"/>
      <c r="I185"/>
      <c r="J185"/>
      <c r="K185"/>
      <c r="L185"/>
      <c r="M185"/>
      <c r="N185" s="765"/>
      <c r="O185"/>
      <c r="P185"/>
      <c r="Q185" s="765"/>
      <c r="R185" s="765"/>
      <c r="S185" s="765"/>
    </row>
    <row r="186" spans="1:19" x14ac:dyDescent="0.2">
      <c r="A186" s="13"/>
      <c r="B186" s="13"/>
      <c r="C186" s="13"/>
      <c r="D186" s="13"/>
      <c r="E186"/>
      <c r="F186"/>
      <c r="G186"/>
      <c r="H186"/>
      <c r="I186"/>
      <c r="J186"/>
      <c r="K186"/>
      <c r="L186"/>
      <c r="M186"/>
      <c r="N186" s="765"/>
      <c r="O186"/>
      <c r="P186"/>
      <c r="Q186" s="765"/>
      <c r="R186" s="765"/>
      <c r="S186" s="765"/>
    </row>
    <row r="187" spans="1:19" x14ac:dyDescent="0.2">
      <c r="A187" s="13"/>
      <c r="B187" s="13"/>
      <c r="C187" s="13"/>
      <c r="D187" s="13"/>
      <c r="E187"/>
      <c r="F187"/>
      <c r="G187"/>
      <c r="H187"/>
      <c r="I187"/>
      <c r="J187"/>
      <c r="K187"/>
      <c r="L187"/>
      <c r="M187"/>
      <c r="N187" s="765"/>
      <c r="O187"/>
      <c r="P187"/>
      <c r="Q187" s="765"/>
      <c r="R187" s="765"/>
      <c r="S187" s="765"/>
    </row>
    <row r="188" spans="1:19" x14ac:dyDescent="0.2">
      <c r="A188" s="13"/>
      <c r="B188" s="13"/>
      <c r="C188" s="13"/>
      <c r="D188" s="13"/>
      <c r="E188"/>
      <c r="F188"/>
      <c r="G188"/>
      <c r="H188"/>
      <c r="I188"/>
      <c r="J188"/>
      <c r="K188"/>
      <c r="L188"/>
      <c r="M188"/>
      <c r="N188" s="765"/>
      <c r="O188"/>
      <c r="P188"/>
      <c r="Q188" s="765"/>
      <c r="R188" s="765"/>
      <c r="S188" s="765"/>
    </row>
    <row r="189" spans="1:19" x14ac:dyDescent="0.2">
      <c r="A189" s="13"/>
      <c r="B189" s="13"/>
      <c r="C189" s="13"/>
      <c r="D189" s="13"/>
      <c r="E189"/>
      <c r="F189"/>
      <c r="G189"/>
      <c r="H189"/>
      <c r="I189"/>
      <c r="J189"/>
      <c r="K189"/>
      <c r="L189"/>
      <c r="M189"/>
      <c r="N189" s="765"/>
      <c r="O189"/>
      <c r="P189"/>
      <c r="Q189" s="765"/>
      <c r="R189" s="765"/>
      <c r="S189" s="765"/>
    </row>
    <row r="190" spans="1:19" x14ac:dyDescent="0.2">
      <c r="A190" s="13"/>
      <c r="B190" s="13"/>
      <c r="C190" s="13"/>
      <c r="D190" s="13"/>
      <c r="E190"/>
      <c r="F190"/>
      <c r="G190"/>
      <c r="H190"/>
      <c r="I190"/>
      <c r="J190"/>
      <c r="K190"/>
      <c r="L190"/>
      <c r="M190"/>
      <c r="N190" s="765"/>
      <c r="O190"/>
      <c r="P190"/>
      <c r="Q190" s="765"/>
      <c r="R190" s="765"/>
      <c r="S190" s="765"/>
    </row>
    <row r="191" spans="1:19" x14ac:dyDescent="0.2">
      <c r="A191" s="13"/>
      <c r="B191" s="13"/>
      <c r="C191" s="13"/>
      <c r="D191" s="13"/>
      <c r="E191"/>
      <c r="F191"/>
      <c r="G191"/>
      <c r="H191"/>
      <c r="I191"/>
      <c r="J191"/>
      <c r="K191"/>
      <c r="L191"/>
      <c r="M191"/>
      <c r="N191" s="765"/>
      <c r="O191"/>
      <c r="P191"/>
      <c r="Q191" s="765"/>
      <c r="R191" s="765"/>
      <c r="S191" s="765"/>
    </row>
    <row r="192" spans="1:19" x14ac:dyDescent="0.2">
      <c r="A192" s="13"/>
      <c r="B192" s="13"/>
      <c r="C192" s="13"/>
      <c r="D192" s="13"/>
      <c r="E192"/>
      <c r="F192"/>
      <c r="G192"/>
      <c r="H192"/>
      <c r="I192"/>
      <c r="J192"/>
      <c r="K192"/>
      <c r="L192"/>
      <c r="M192"/>
      <c r="N192" s="765"/>
      <c r="O192"/>
      <c r="P192"/>
      <c r="Q192" s="765"/>
      <c r="R192" s="765"/>
      <c r="S192" s="765"/>
    </row>
    <row r="193" spans="1:19" x14ac:dyDescent="0.2">
      <c r="A193" s="13"/>
      <c r="B193" s="13"/>
      <c r="C193" s="13"/>
      <c r="D193" s="13"/>
      <c r="E193"/>
      <c r="F193"/>
      <c r="G193"/>
      <c r="H193"/>
      <c r="I193"/>
      <c r="J193"/>
      <c r="K193"/>
      <c r="L193"/>
      <c r="M193"/>
      <c r="N193" s="765"/>
      <c r="O193"/>
      <c r="P193"/>
      <c r="Q193" s="765"/>
      <c r="R193" s="765"/>
      <c r="S193" s="765"/>
    </row>
    <row r="194" spans="1:19" x14ac:dyDescent="0.2">
      <c r="A194" s="13"/>
      <c r="B194" s="13"/>
      <c r="C194" s="13"/>
      <c r="D194" s="13"/>
      <c r="E194"/>
      <c r="F194"/>
      <c r="G194"/>
      <c r="H194"/>
      <c r="I194"/>
      <c r="J194"/>
      <c r="K194"/>
      <c r="L194"/>
      <c r="M194"/>
      <c r="N194" s="765"/>
      <c r="O194"/>
      <c r="P194"/>
      <c r="Q194" s="765"/>
      <c r="R194" s="765"/>
      <c r="S194" s="765"/>
    </row>
    <row r="195" spans="1:19" x14ac:dyDescent="0.2">
      <c r="A195" s="13"/>
      <c r="B195" s="13"/>
      <c r="C195" s="13"/>
      <c r="D195" s="13"/>
      <c r="E195"/>
      <c r="F195"/>
      <c r="G195"/>
      <c r="H195"/>
      <c r="I195"/>
      <c r="J195"/>
      <c r="K195"/>
      <c r="L195"/>
      <c r="M195"/>
      <c r="N195" s="765"/>
      <c r="O195"/>
      <c r="P195"/>
      <c r="Q195" s="765"/>
      <c r="R195" s="765"/>
      <c r="S195" s="765"/>
    </row>
    <row r="196" spans="1:19" x14ac:dyDescent="0.2">
      <c r="A196" s="13"/>
      <c r="B196" s="13"/>
      <c r="C196" s="13"/>
      <c r="D196" s="13"/>
      <c r="E196"/>
      <c r="F196"/>
      <c r="G196"/>
      <c r="H196"/>
      <c r="I196"/>
      <c r="J196"/>
      <c r="K196"/>
      <c r="L196"/>
      <c r="M196"/>
      <c r="N196" s="765"/>
      <c r="O196"/>
      <c r="P196"/>
      <c r="Q196" s="765"/>
      <c r="R196" s="765"/>
      <c r="S196" s="765"/>
    </row>
    <row r="197" spans="1:19" x14ac:dyDescent="0.2">
      <c r="A197" s="13"/>
      <c r="B197" s="13"/>
      <c r="C197" s="13"/>
      <c r="D197" s="13"/>
      <c r="E197"/>
      <c r="F197"/>
      <c r="G197"/>
      <c r="H197"/>
      <c r="I197"/>
      <c r="J197"/>
      <c r="K197"/>
      <c r="L197"/>
      <c r="M197"/>
      <c r="N197" s="765"/>
      <c r="O197"/>
      <c r="P197"/>
      <c r="Q197" s="765"/>
      <c r="R197" s="765"/>
      <c r="S197" s="765"/>
    </row>
    <row r="198" spans="1:19" x14ac:dyDescent="0.2">
      <c r="A198" s="13"/>
      <c r="B198" s="13"/>
      <c r="C198" s="13"/>
      <c r="D198" s="13"/>
      <c r="E198"/>
      <c r="F198"/>
      <c r="G198"/>
      <c r="H198"/>
      <c r="I198"/>
      <c r="J198"/>
      <c r="K198"/>
      <c r="L198"/>
      <c r="M198"/>
      <c r="N198" s="765"/>
      <c r="O198"/>
      <c r="P198"/>
      <c r="Q198" s="765"/>
      <c r="R198" s="765"/>
      <c r="S198" s="765"/>
    </row>
    <row r="199" spans="1:19" x14ac:dyDescent="0.2">
      <c r="A199" s="13"/>
      <c r="B199" s="13"/>
      <c r="C199" s="13"/>
      <c r="D199" s="13"/>
      <c r="E199"/>
      <c r="F199"/>
      <c r="G199"/>
      <c r="H199"/>
      <c r="I199"/>
      <c r="J199"/>
      <c r="K199"/>
      <c r="L199"/>
      <c r="M199"/>
      <c r="N199" s="765"/>
      <c r="O199"/>
      <c r="P199"/>
      <c r="Q199" s="765"/>
      <c r="R199" s="765"/>
      <c r="S199" s="765"/>
    </row>
    <row r="200" spans="1:19" x14ac:dyDescent="0.2">
      <c r="A200" s="13"/>
      <c r="B200" s="13"/>
      <c r="C200" s="13"/>
      <c r="D200" s="13"/>
      <c r="E200"/>
      <c r="F200"/>
      <c r="G200"/>
      <c r="H200"/>
      <c r="I200"/>
      <c r="J200"/>
      <c r="K200"/>
      <c r="L200"/>
      <c r="M200"/>
      <c r="N200" s="765"/>
      <c r="O200"/>
      <c r="P200"/>
      <c r="Q200" s="765"/>
      <c r="R200" s="765"/>
      <c r="S200" s="765"/>
    </row>
    <row r="201" spans="1:19" x14ac:dyDescent="0.2">
      <c r="A201" s="13"/>
      <c r="B201" s="13"/>
      <c r="C201" s="13"/>
      <c r="D201" s="13"/>
      <c r="E201"/>
      <c r="F201"/>
      <c r="G201"/>
      <c r="H201"/>
      <c r="I201"/>
      <c r="J201"/>
      <c r="K201"/>
      <c r="L201"/>
      <c r="M201"/>
      <c r="N201" s="765"/>
      <c r="O201"/>
      <c r="P201"/>
      <c r="Q201" s="765"/>
      <c r="R201" s="765"/>
      <c r="S201" s="765"/>
    </row>
    <row r="202" spans="1:19" x14ac:dyDescent="0.2">
      <c r="A202" s="13"/>
      <c r="B202" s="13"/>
      <c r="C202" s="13"/>
      <c r="D202" s="13"/>
      <c r="E202"/>
      <c r="F202"/>
      <c r="G202"/>
      <c r="H202"/>
      <c r="I202"/>
      <c r="J202"/>
      <c r="K202"/>
      <c r="L202"/>
      <c r="M202"/>
      <c r="N202" s="765"/>
      <c r="O202"/>
      <c r="P202"/>
      <c r="Q202" s="765"/>
      <c r="R202" s="765"/>
      <c r="S202" s="765"/>
    </row>
    <row r="203" spans="1:19" x14ac:dyDescent="0.2">
      <c r="A203" s="13"/>
      <c r="B203" s="13"/>
      <c r="C203" s="13"/>
      <c r="D203" s="13"/>
      <c r="E203"/>
      <c r="F203"/>
      <c r="G203"/>
      <c r="H203"/>
      <c r="I203"/>
      <c r="J203"/>
      <c r="K203"/>
      <c r="L203"/>
      <c r="M203"/>
      <c r="N203" s="765"/>
      <c r="O203"/>
      <c r="P203"/>
      <c r="Q203" s="765"/>
      <c r="R203" s="765"/>
      <c r="S203" s="765"/>
    </row>
    <row r="204" spans="1:19" x14ac:dyDescent="0.2">
      <c r="A204" s="13"/>
      <c r="B204" s="13"/>
      <c r="C204" s="13"/>
      <c r="D204" s="13"/>
      <c r="E204"/>
      <c r="F204"/>
      <c r="G204"/>
      <c r="H204"/>
      <c r="I204"/>
      <c r="J204"/>
      <c r="K204"/>
      <c r="L204"/>
      <c r="M204"/>
      <c r="N204" s="765"/>
      <c r="O204"/>
      <c r="P204"/>
      <c r="Q204" s="765"/>
      <c r="R204" s="765"/>
      <c r="S204" s="765"/>
    </row>
    <row r="205" spans="1:19" x14ac:dyDescent="0.2">
      <c r="A205" s="13"/>
      <c r="B205" s="13"/>
      <c r="C205" s="13"/>
      <c r="D205" s="13"/>
      <c r="E205"/>
      <c r="F205"/>
      <c r="G205"/>
      <c r="H205"/>
      <c r="I205"/>
      <c r="J205"/>
      <c r="K205"/>
      <c r="L205"/>
      <c r="M205"/>
      <c r="N205" s="765"/>
      <c r="O205"/>
      <c r="P205"/>
      <c r="Q205" s="765"/>
      <c r="R205" s="765"/>
      <c r="S205" s="765"/>
    </row>
    <row r="206" spans="1:19" x14ac:dyDescent="0.2">
      <c r="A206" s="13"/>
      <c r="B206" s="13"/>
      <c r="C206" s="13"/>
      <c r="D206" s="13"/>
      <c r="E206"/>
      <c r="F206"/>
      <c r="G206"/>
      <c r="H206"/>
      <c r="I206"/>
      <c r="J206"/>
      <c r="K206"/>
      <c r="L206"/>
      <c r="M206"/>
      <c r="N206" s="765"/>
      <c r="O206"/>
      <c r="P206"/>
      <c r="Q206" s="765"/>
      <c r="R206" s="765"/>
      <c r="S206" s="765"/>
    </row>
    <row r="207" spans="1:19" x14ac:dyDescent="0.2">
      <c r="A207" s="13"/>
      <c r="B207" s="13"/>
      <c r="C207" s="13"/>
      <c r="D207" s="13"/>
      <c r="E207"/>
      <c r="F207"/>
      <c r="G207"/>
      <c r="H207"/>
      <c r="I207"/>
      <c r="J207"/>
      <c r="K207"/>
      <c r="L207"/>
      <c r="M207"/>
      <c r="N207" s="765"/>
      <c r="O207"/>
      <c r="P207"/>
      <c r="Q207" s="765"/>
      <c r="R207" s="765"/>
      <c r="S207" s="765"/>
    </row>
    <row r="208" spans="1:19" x14ac:dyDescent="0.2">
      <c r="A208" s="13"/>
      <c r="B208" s="13"/>
      <c r="C208" s="13"/>
      <c r="D208" s="13"/>
      <c r="E208"/>
      <c r="F208"/>
      <c r="G208"/>
      <c r="H208"/>
      <c r="I208"/>
      <c r="J208"/>
      <c r="K208"/>
      <c r="L208"/>
      <c r="M208"/>
      <c r="N208" s="765"/>
      <c r="O208"/>
      <c r="P208"/>
      <c r="Q208" s="765"/>
      <c r="R208" s="765"/>
      <c r="S208" s="765"/>
    </row>
    <row r="209" spans="1:19" x14ac:dyDescent="0.2">
      <c r="A209" s="13"/>
      <c r="B209" s="13"/>
      <c r="C209" s="13"/>
      <c r="D209" s="13"/>
      <c r="E209"/>
      <c r="F209"/>
      <c r="G209"/>
      <c r="H209"/>
      <c r="I209"/>
      <c r="J209"/>
      <c r="K209"/>
      <c r="L209"/>
      <c r="M209"/>
      <c r="N209" s="765"/>
      <c r="O209"/>
      <c r="P209"/>
      <c r="Q209" s="765"/>
      <c r="R209" s="765"/>
      <c r="S209" s="765"/>
    </row>
    <row r="210" spans="1:19" x14ac:dyDescent="0.2">
      <c r="A210" s="13"/>
      <c r="B210" s="13"/>
      <c r="C210" s="13"/>
      <c r="D210" s="13"/>
      <c r="E210"/>
      <c r="F210"/>
      <c r="G210"/>
      <c r="H210"/>
      <c r="I210"/>
      <c r="J210"/>
      <c r="K210"/>
      <c r="L210"/>
      <c r="M210"/>
      <c r="N210" s="765"/>
      <c r="O210"/>
      <c r="P210"/>
      <c r="Q210" s="765"/>
      <c r="R210" s="765"/>
      <c r="S210" s="765"/>
    </row>
    <row r="211" spans="1:19" x14ac:dyDescent="0.2">
      <c r="A211" s="13"/>
      <c r="B211" s="13"/>
      <c r="C211" s="13"/>
      <c r="D211" s="13"/>
      <c r="E211"/>
      <c r="F211"/>
      <c r="G211"/>
      <c r="H211"/>
      <c r="I211"/>
      <c r="J211"/>
      <c r="K211"/>
      <c r="L211"/>
      <c r="M211"/>
      <c r="N211" s="765"/>
      <c r="O211"/>
      <c r="P211"/>
      <c r="Q211" s="765"/>
      <c r="R211" s="765"/>
      <c r="S211" s="765"/>
    </row>
    <row r="212" spans="1:19" x14ac:dyDescent="0.2">
      <c r="A212" s="13"/>
      <c r="B212" s="13"/>
      <c r="C212" s="13"/>
      <c r="D212" s="13"/>
      <c r="E212"/>
      <c r="F212"/>
      <c r="G212"/>
      <c r="H212"/>
      <c r="I212"/>
      <c r="J212"/>
      <c r="K212"/>
      <c r="L212"/>
      <c r="M212"/>
      <c r="N212" s="765"/>
      <c r="O212"/>
      <c r="P212"/>
      <c r="Q212" s="765"/>
      <c r="R212" s="765"/>
      <c r="S212" s="765"/>
    </row>
    <row r="213" spans="1:19" x14ac:dyDescent="0.2">
      <c r="A213" s="13"/>
      <c r="B213" s="13"/>
      <c r="C213" s="13"/>
      <c r="D213" s="13"/>
      <c r="E213"/>
      <c r="F213"/>
      <c r="G213"/>
      <c r="H213"/>
      <c r="I213"/>
      <c r="J213"/>
      <c r="K213"/>
      <c r="L213"/>
      <c r="M213"/>
      <c r="N213" s="765"/>
      <c r="O213"/>
      <c r="P213"/>
      <c r="Q213" s="765"/>
      <c r="R213" s="765"/>
      <c r="S213" s="765"/>
    </row>
    <row r="214" spans="1:19" x14ac:dyDescent="0.2">
      <c r="A214" s="13"/>
      <c r="B214" s="13"/>
      <c r="C214" s="13"/>
      <c r="D214" s="13"/>
      <c r="E214"/>
      <c r="F214"/>
      <c r="G214"/>
      <c r="H214"/>
      <c r="I214"/>
      <c r="J214"/>
      <c r="K214"/>
      <c r="L214"/>
      <c r="M214"/>
      <c r="N214" s="765"/>
      <c r="O214"/>
      <c r="P214"/>
      <c r="Q214" s="765"/>
      <c r="R214" s="765"/>
      <c r="S214" s="765"/>
    </row>
    <row r="215" spans="1:19" x14ac:dyDescent="0.2">
      <c r="A215" s="13"/>
      <c r="B215" s="13"/>
      <c r="C215" s="13"/>
      <c r="D215" s="13"/>
      <c r="E215"/>
      <c r="F215"/>
      <c r="G215"/>
      <c r="H215"/>
      <c r="I215"/>
      <c r="J215"/>
      <c r="K215"/>
      <c r="L215"/>
      <c r="M215"/>
      <c r="N215" s="765"/>
      <c r="O215"/>
      <c r="P215"/>
      <c r="Q215" s="765"/>
      <c r="R215" s="765"/>
      <c r="S215" s="765"/>
    </row>
    <row r="216" spans="1:19" x14ac:dyDescent="0.2">
      <c r="A216" s="13"/>
      <c r="B216" s="13"/>
      <c r="C216" s="13"/>
      <c r="D216" s="13"/>
      <c r="E216"/>
      <c r="F216"/>
      <c r="G216"/>
      <c r="H216"/>
      <c r="I216"/>
      <c r="J216"/>
      <c r="K216"/>
      <c r="L216"/>
      <c r="M216"/>
      <c r="N216" s="765"/>
      <c r="O216"/>
      <c r="P216"/>
      <c r="Q216" s="765"/>
      <c r="R216" s="765"/>
      <c r="S216" s="765"/>
    </row>
    <row r="217" spans="1:19" x14ac:dyDescent="0.2">
      <c r="A217" s="13"/>
      <c r="B217" s="13"/>
      <c r="C217" s="13"/>
      <c r="D217" s="13"/>
      <c r="E217"/>
      <c r="F217"/>
      <c r="G217"/>
      <c r="H217"/>
      <c r="I217"/>
      <c r="J217"/>
      <c r="K217"/>
      <c r="L217"/>
      <c r="M217"/>
      <c r="N217" s="765"/>
      <c r="O217"/>
      <c r="P217"/>
      <c r="Q217" s="765"/>
      <c r="R217" s="765"/>
      <c r="S217" s="765"/>
    </row>
    <row r="218" spans="1:19" x14ac:dyDescent="0.2">
      <c r="A218" s="13"/>
      <c r="B218" s="13"/>
      <c r="C218" s="13"/>
      <c r="D218" s="13"/>
      <c r="E218"/>
      <c r="F218"/>
      <c r="G218"/>
      <c r="H218"/>
      <c r="I218"/>
      <c r="J218"/>
      <c r="K218"/>
      <c r="L218"/>
      <c r="M218"/>
      <c r="N218" s="765"/>
      <c r="O218"/>
      <c r="P218"/>
      <c r="Q218" s="765"/>
      <c r="R218" s="765"/>
      <c r="S218" s="765"/>
    </row>
    <row r="219" spans="1:19" x14ac:dyDescent="0.2">
      <c r="A219" s="13"/>
      <c r="B219" s="13"/>
      <c r="C219" s="13"/>
      <c r="D219" s="13"/>
      <c r="E219"/>
      <c r="F219"/>
      <c r="G219"/>
      <c r="H219"/>
      <c r="I219"/>
      <c r="J219"/>
      <c r="K219"/>
      <c r="L219"/>
      <c r="M219"/>
      <c r="N219" s="765"/>
      <c r="O219"/>
      <c r="P219"/>
      <c r="Q219" s="765"/>
      <c r="R219" s="765"/>
      <c r="S219" s="765"/>
    </row>
    <row r="220" spans="1:19" x14ac:dyDescent="0.2">
      <c r="A220" s="13"/>
      <c r="B220" s="13"/>
      <c r="C220" s="13"/>
      <c r="D220" s="13"/>
      <c r="E220"/>
      <c r="F220"/>
      <c r="G220"/>
      <c r="H220"/>
      <c r="I220"/>
      <c r="J220"/>
      <c r="K220"/>
      <c r="L220"/>
      <c r="M220"/>
      <c r="N220" s="765"/>
      <c r="O220"/>
      <c r="P220"/>
      <c r="Q220" s="765"/>
      <c r="R220" s="765"/>
      <c r="S220" s="765"/>
    </row>
    <row r="221" spans="1:19" x14ac:dyDescent="0.2">
      <c r="A221" s="13"/>
      <c r="B221" s="13"/>
      <c r="C221" s="13"/>
      <c r="D221" s="13"/>
      <c r="E221"/>
      <c r="F221"/>
      <c r="G221"/>
      <c r="H221"/>
      <c r="I221"/>
      <c r="J221"/>
      <c r="K221"/>
      <c r="L221"/>
      <c r="M221"/>
      <c r="N221" s="765"/>
      <c r="O221"/>
      <c r="P221"/>
      <c r="Q221" s="765"/>
      <c r="R221" s="765"/>
      <c r="S221" s="765"/>
    </row>
    <row r="222" spans="1:19" x14ac:dyDescent="0.2">
      <c r="A222" s="13"/>
      <c r="B222" s="13"/>
      <c r="C222" s="13"/>
      <c r="D222" s="13"/>
      <c r="E222"/>
      <c r="F222"/>
      <c r="G222"/>
      <c r="H222"/>
      <c r="I222"/>
      <c r="J222"/>
      <c r="K222"/>
      <c r="L222"/>
      <c r="M222"/>
      <c r="N222" s="765"/>
      <c r="O222"/>
      <c r="P222"/>
      <c r="Q222" s="765"/>
      <c r="R222" s="765"/>
      <c r="S222" s="765"/>
    </row>
    <row r="223" spans="1:19" x14ac:dyDescent="0.2">
      <c r="A223" s="13"/>
      <c r="B223" s="13"/>
      <c r="C223" s="13"/>
      <c r="D223" s="13"/>
      <c r="E223"/>
      <c r="F223"/>
      <c r="G223"/>
      <c r="H223"/>
      <c r="I223"/>
      <c r="J223"/>
      <c r="K223"/>
      <c r="L223"/>
      <c r="M223"/>
      <c r="N223" s="765"/>
      <c r="O223"/>
      <c r="P223"/>
      <c r="Q223" s="765"/>
      <c r="R223" s="765"/>
      <c r="S223" s="765"/>
    </row>
    <row r="224" spans="1:19" x14ac:dyDescent="0.2">
      <c r="A224" s="13"/>
      <c r="B224" s="13"/>
      <c r="C224" s="13"/>
      <c r="D224" s="13"/>
      <c r="E224"/>
      <c r="F224"/>
      <c r="G224"/>
      <c r="H224"/>
      <c r="I224"/>
      <c r="J224"/>
      <c r="K224"/>
      <c r="L224"/>
      <c r="M224"/>
      <c r="N224" s="765"/>
      <c r="O224"/>
      <c r="P224"/>
      <c r="Q224" s="765"/>
      <c r="R224" s="765"/>
      <c r="S224" s="765"/>
    </row>
    <row r="225" spans="1:19" x14ac:dyDescent="0.2">
      <c r="A225" s="13"/>
      <c r="B225" s="13"/>
      <c r="C225" s="13"/>
      <c r="D225" s="13"/>
      <c r="E225"/>
      <c r="F225"/>
      <c r="G225"/>
      <c r="H225"/>
      <c r="I225"/>
      <c r="J225"/>
      <c r="K225"/>
      <c r="L225"/>
      <c r="M225"/>
      <c r="N225" s="765"/>
      <c r="O225"/>
      <c r="P225"/>
      <c r="Q225" s="765"/>
      <c r="R225" s="765"/>
      <c r="S225" s="765"/>
    </row>
    <row r="226" spans="1:19" x14ac:dyDescent="0.2">
      <c r="A226" s="13"/>
      <c r="B226" s="13"/>
      <c r="C226" s="13"/>
      <c r="D226" s="13"/>
      <c r="E226"/>
      <c r="F226"/>
      <c r="G226"/>
      <c r="H226"/>
      <c r="I226"/>
      <c r="J226"/>
      <c r="K226"/>
      <c r="L226"/>
      <c r="M226"/>
      <c r="N226" s="765"/>
      <c r="O226"/>
      <c r="P226"/>
      <c r="Q226" s="765"/>
      <c r="R226" s="765"/>
      <c r="S226" s="765"/>
    </row>
    <row r="227" spans="1:19" x14ac:dyDescent="0.2">
      <c r="A227" s="13"/>
      <c r="B227" s="13"/>
      <c r="C227" s="13"/>
      <c r="D227" s="13"/>
      <c r="E227"/>
      <c r="F227"/>
      <c r="G227"/>
      <c r="H227"/>
      <c r="I227"/>
      <c r="J227"/>
      <c r="K227"/>
      <c r="L227"/>
      <c r="M227"/>
      <c r="N227" s="765"/>
      <c r="O227"/>
      <c r="P227"/>
      <c r="Q227" s="765"/>
      <c r="R227" s="765"/>
      <c r="S227" s="765"/>
    </row>
    <row r="228" spans="1:19" x14ac:dyDescent="0.2">
      <c r="A228" s="13"/>
      <c r="B228" s="13"/>
      <c r="C228" s="13"/>
      <c r="D228" s="13"/>
      <c r="E228"/>
      <c r="F228"/>
      <c r="G228"/>
      <c r="H228"/>
      <c r="I228"/>
      <c r="J228"/>
      <c r="K228"/>
      <c r="L228"/>
      <c r="M228"/>
      <c r="N228" s="765"/>
      <c r="O228"/>
      <c r="P228"/>
      <c r="Q228" s="765"/>
      <c r="R228" s="765"/>
      <c r="S228" s="765"/>
    </row>
    <row r="229" spans="1:19" x14ac:dyDescent="0.2">
      <c r="A229" s="13"/>
      <c r="B229" s="13"/>
      <c r="C229" s="13"/>
      <c r="D229" s="13"/>
      <c r="E229"/>
      <c r="F229"/>
      <c r="G229"/>
      <c r="H229"/>
      <c r="I229"/>
      <c r="J229"/>
      <c r="K229"/>
      <c r="L229"/>
      <c r="M229"/>
      <c r="N229" s="765"/>
      <c r="O229"/>
      <c r="P229"/>
      <c r="Q229" s="765"/>
      <c r="R229" s="765"/>
      <c r="S229" s="765"/>
    </row>
    <row r="230" spans="1:19" x14ac:dyDescent="0.2">
      <c r="A230" s="13"/>
      <c r="B230" s="13"/>
      <c r="C230" s="13"/>
      <c r="D230" s="13"/>
      <c r="E230"/>
      <c r="F230"/>
      <c r="G230"/>
      <c r="H230"/>
      <c r="I230"/>
      <c r="J230"/>
      <c r="K230"/>
      <c r="L230"/>
      <c r="M230"/>
      <c r="N230" s="765"/>
      <c r="O230"/>
      <c r="P230"/>
      <c r="Q230" s="765"/>
      <c r="R230" s="765"/>
      <c r="S230" s="765"/>
    </row>
    <row r="231" spans="1:19" x14ac:dyDescent="0.2">
      <c r="A231" s="13"/>
      <c r="B231" s="13"/>
      <c r="C231" s="13"/>
      <c r="D231" s="13"/>
      <c r="E231"/>
      <c r="F231"/>
      <c r="G231"/>
      <c r="H231"/>
      <c r="I231"/>
      <c r="J231"/>
      <c r="K231"/>
      <c r="L231"/>
      <c r="M231"/>
      <c r="N231" s="765"/>
      <c r="O231"/>
      <c r="P231"/>
      <c r="Q231" s="765"/>
      <c r="R231" s="765"/>
      <c r="S231" s="765"/>
    </row>
    <row r="232" spans="1:19" x14ac:dyDescent="0.2">
      <c r="A232" s="13"/>
      <c r="B232" s="13"/>
      <c r="C232" s="13"/>
      <c r="D232" s="13"/>
      <c r="E232"/>
      <c r="F232"/>
      <c r="G232"/>
      <c r="H232"/>
      <c r="I232"/>
      <c r="J232"/>
      <c r="K232"/>
      <c r="L232"/>
      <c r="M232"/>
      <c r="N232" s="765"/>
      <c r="O232"/>
      <c r="P232"/>
      <c r="Q232" s="765"/>
      <c r="R232" s="765"/>
      <c r="S232" s="765"/>
    </row>
    <row r="233" spans="1:19" x14ac:dyDescent="0.2">
      <c r="A233" s="13"/>
      <c r="B233" s="13"/>
      <c r="C233" s="13"/>
      <c r="D233" s="13"/>
      <c r="E233"/>
      <c r="F233"/>
      <c r="G233"/>
      <c r="H233"/>
      <c r="I233"/>
      <c r="J233"/>
      <c r="K233"/>
      <c r="L233"/>
      <c r="M233"/>
      <c r="N233" s="765"/>
      <c r="O233"/>
      <c r="P233"/>
      <c r="Q233" s="765"/>
      <c r="R233" s="765"/>
      <c r="S233" s="765"/>
    </row>
    <row r="234" spans="1:19" x14ac:dyDescent="0.2">
      <c r="A234" s="13"/>
      <c r="B234" s="13"/>
      <c r="C234" s="13"/>
      <c r="D234" s="13"/>
      <c r="E234"/>
      <c r="F234"/>
      <c r="G234"/>
      <c r="H234"/>
      <c r="I234"/>
      <c r="J234"/>
      <c r="K234"/>
      <c r="L234"/>
      <c r="M234"/>
      <c r="N234" s="765"/>
      <c r="O234"/>
      <c r="P234"/>
      <c r="Q234" s="765"/>
      <c r="R234" s="765"/>
      <c r="S234" s="765"/>
    </row>
    <row r="235" spans="1:19" x14ac:dyDescent="0.2">
      <c r="A235" s="13"/>
      <c r="B235" s="13"/>
      <c r="C235" s="13"/>
      <c r="D235" s="13"/>
      <c r="E235"/>
      <c r="F235"/>
      <c r="G235"/>
      <c r="H235"/>
      <c r="I235"/>
      <c r="J235"/>
      <c r="K235"/>
      <c r="L235"/>
      <c r="M235"/>
      <c r="N235" s="765"/>
      <c r="O235"/>
      <c r="P235"/>
      <c r="Q235" s="765"/>
      <c r="R235" s="765"/>
      <c r="S235" s="765"/>
    </row>
    <row r="236" spans="1:19" x14ac:dyDescent="0.2">
      <c r="A236" s="13"/>
      <c r="B236" s="13"/>
      <c r="C236" s="13"/>
      <c r="D236" s="13"/>
      <c r="E236"/>
      <c r="F236"/>
      <c r="G236"/>
      <c r="H236"/>
      <c r="I236"/>
      <c r="J236"/>
      <c r="K236"/>
      <c r="L236"/>
      <c r="M236"/>
      <c r="N236" s="765"/>
      <c r="O236"/>
      <c r="P236"/>
      <c r="Q236" s="765"/>
      <c r="R236" s="765"/>
      <c r="S236" s="765"/>
    </row>
    <row r="237" spans="1:19" x14ac:dyDescent="0.2">
      <c r="A237" s="13"/>
      <c r="B237" s="13"/>
      <c r="C237" s="13"/>
      <c r="D237" s="13"/>
      <c r="E237"/>
      <c r="F237"/>
      <c r="G237"/>
      <c r="H237"/>
      <c r="I237"/>
      <c r="J237"/>
      <c r="K237"/>
      <c r="L237"/>
      <c r="M237"/>
      <c r="N237" s="765"/>
      <c r="O237"/>
      <c r="P237"/>
      <c r="Q237" s="765"/>
      <c r="R237" s="765"/>
      <c r="S237" s="765"/>
    </row>
    <row r="238" spans="1:19" x14ac:dyDescent="0.2">
      <c r="A238" s="13"/>
      <c r="B238" s="13"/>
      <c r="C238" s="13"/>
      <c r="D238" s="13"/>
      <c r="E238"/>
      <c r="F238"/>
      <c r="G238"/>
      <c r="H238"/>
      <c r="I238"/>
      <c r="J238"/>
      <c r="K238"/>
      <c r="L238"/>
      <c r="M238"/>
      <c r="N238" s="765"/>
      <c r="O238"/>
      <c r="P238"/>
      <c r="Q238" s="765"/>
      <c r="R238" s="765"/>
      <c r="S238" s="765"/>
    </row>
    <row r="239" spans="1:19" x14ac:dyDescent="0.2">
      <c r="A239" s="13"/>
      <c r="B239" s="13"/>
      <c r="C239" s="13"/>
      <c r="D239" s="13"/>
      <c r="E239"/>
      <c r="F239"/>
      <c r="G239"/>
      <c r="H239"/>
      <c r="I239"/>
      <c r="J239"/>
      <c r="K239"/>
      <c r="L239"/>
      <c r="M239"/>
      <c r="N239" s="765"/>
      <c r="O239"/>
      <c r="P239"/>
      <c r="Q239" s="765"/>
      <c r="R239" s="765"/>
      <c r="S239" s="765"/>
    </row>
    <row r="240" spans="1:19" x14ac:dyDescent="0.2">
      <c r="A240" s="13"/>
      <c r="B240" s="13"/>
      <c r="C240" s="13"/>
      <c r="D240" s="13"/>
      <c r="E240"/>
      <c r="F240"/>
      <c r="G240"/>
      <c r="H240"/>
      <c r="I240"/>
      <c r="J240"/>
      <c r="K240"/>
      <c r="L240"/>
      <c r="M240"/>
      <c r="N240" s="765"/>
      <c r="O240"/>
      <c r="P240"/>
      <c r="Q240" s="765"/>
      <c r="R240" s="765"/>
      <c r="S240" s="765"/>
    </row>
    <row r="241" spans="1:19" x14ac:dyDescent="0.2">
      <c r="A241" s="13"/>
      <c r="B241" s="13"/>
      <c r="C241" s="13"/>
      <c r="D241" s="13"/>
      <c r="E241"/>
      <c r="F241"/>
      <c r="G241"/>
      <c r="H241"/>
      <c r="I241"/>
      <c r="J241"/>
      <c r="K241"/>
      <c r="L241"/>
      <c r="M241"/>
      <c r="N241" s="765"/>
      <c r="O241"/>
      <c r="P241"/>
      <c r="Q241" s="765"/>
      <c r="R241" s="765"/>
      <c r="S241" s="765"/>
    </row>
    <row r="242" spans="1:19" x14ac:dyDescent="0.2">
      <c r="A242" s="13"/>
      <c r="B242" s="13"/>
      <c r="C242" s="13"/>
      <c r="D242" s="13"/>
      <c r="E242"/>
      <c r="F242"/>
      <c r="G242"/>
      <c r="H242"/>
      <c r="I242"/>
      <c r="J242"/>
      <c r="K242"/>
      <c r="L242"/>
      <c r="M242"/>
      <c r="N242" s="765"/>
      <c r="O242"/>
      <c r="P242"/>
      <c r="Q242" s="765"/>
      <c r="R242" s="765"/>
      <c r="S242" s="765"/>
    </row>
    <row r="243" spans="1:19" x14ac:dyDescent="0.2">
      <c r="A243" s="13"/>
      <c r="B243" s="13"/>
      <c r="C243" s="13"/>
      <c r="D243" s="13"/>
      <c r="E243"/>
      <c r="F243"/>
      <c r="G243"/>
      <c r="H243"/>
      <c r="I243"/>
      <c r="J243"/>
      <c r="K243"/>
      <c r="L243"/>
      <c r="M243"/>
      <c r="N243" s="765"/>
      <c r="O243"/>
      <c r="P243"/>
      <c r="Q243" s="765"/>
      <c r="R243" s="765"/>
      <c r="S243" s="765"/>
    </row>
    <row r="244" spans="1:19" x14ac:dyDescent="0.2">
      <c r="A244" s="13"/>
      <c r="B244" s="13"/>
      <c r="C244" s="13"/>
      <c r="D244" s="13"/>
      <c r="E244"/>
      <c r="F244"/>
      <c r="G244"/>
      <c r="H244"/>
      <c r="I244"/>
      <c r="J244"/>
      <c r="K244"/>
      <c r="L244"/>
      <c r="M244"/>
      <c r="N244" s="765"/>
      <c r="O244"/>
      <c r="P244"/>
      <c r="Q244" s="765"/>
      <c r="R244" s="765"/>
      <c r="S244" s="765"/>
    </row>
    <row r="245" spans="1:19" x14ac:dyDescent="0.2">
      <c r="A245" s="13"/>
      <c r="B245" s="13"/>
      <c r="C245" s="13"/>
      <c r="D245" s="13"/>
      <c r="E245"/>
      <c r="F245"/>
      <c r="G245"/>
      <c r="H245"/>
      <c r="I245"/>
      <c r="J245"/>
      <c r="K245"/>
      <c r="L245"/>
      <c r="M245"/>
      <c r="N245" s="765"/>
      <c r="O245"/>
      <c r="P245"/>
      <c r="Q245" s="765"/>
      <c r="R245" s="765"/>
      <c r="S245" s="765"/>
    </row>
    <row r="246" spans="1:19" x14ac:dyDescent="0.2">
      <c r="A246" s="13"/>
      <c r="B246" s="13"/>
      <c r="C246" s="13"/>
      <c r="D246" s="13"/>
      <c r="E246"/>
      <c r="F246"/>
      <c r="G246"/>
      <c r="H246"/>
      <c r="I246"/>
      <c r="J246"/>
      <c r="K246"/>
      <c r="L246"/>
      <c r="M246"/>
      <c r="N246" s="765"/>
      <c r="O246"/>
      <c r="P246"/>
      <c r="Q246" s="765"/>
      <c r="R246" s="765"/>
      <c r="S246" s="765"/>
    </row>
    <row r="247" spans="1:19" x14ac:dyDescent="0.2">
      <c r="A247" s="13"/>
      <c r="B247" s="13"/>
      <c r="C247" s="13"/>
      <c r="D247" s="13"/>
      <c r="E247"/>
      <c r="F247"/>
      <c r="G247"/>
      <c r="H247"/>
      <c r="I247"/>
      <c r="J247"/>
      <c r="K247"/>
      <c r="L247"/>
      <c r="M247"/>
      <c r="N247" s="765"/>
      <c r="O247"/>
      <c r="P247"/>
      <c r="Q247" s="765"/>
      <c r="R247" s="765"/>
      <c r="S247" s="765"/>
    </row>
    <row r="248" spans="1:19" x14ac:dyDescent="0.2">
      <c r="A248" s="13"/>
      <c r="B248" s="13"/>
      <c r="C248" s="13"/>
      <c r="D248" s="13"/>
      <c r="E248"/>
      <c r="F248"/>
      <c r="G248"/>
      <c r="H248"/>
      <c r="I248"/>
      <c r="J248"/>
      <c r="K248"/>
      <c r="L248"/>
      <c r="M248"/>
      <c r="N248" s="765"/>
      <c r="O248"/>
      <c r="P248"/>
      <c r="Q248" s="765"/>
      <c r="R248" s="765"/>
      <c r="S248" s="765"/>
    </row>
    <row r="249" spans="1:19" x14ac:dyDescent="0.2">
      <c r="A249" s="13"/>
      <c r="B249" s="13"/>
      <c r="C249" s="13"/>
      <c r="D249" s="13"/>
      <c r="E249"/>
      <c r="F249"/>
      <c r="G249"/>
      <c r="H249"/>
      <c r="I249"/>
      <c r="J249"/>
      <c r="K249"/>
      <c r="L249"/>
      <c r="M249"/>
      <c r="N249" s="765"/>
      <c r="O249"/>
      <c r="P249"/>
      <c r="Q249" s="765"/>
      <c r="R249" s="765"/>
      <c r="S249" s="765"/>
    </row>
    <row r="250" spans="1:19" x14ac:dyDescent="0.2">
      <c r="A250" s="13"/>
      <c r="B250" s="13"/>
      <c r="C250" s="13"/>
      <c r="D250" s="13"/>
      <c r="E250"/>
      <c r="F250"/>
      <c r="G250"/>
      <c r="H250"/>
      <c r="I250"/>
      <c r="J250"/>
      <c r="K250"/>
      <c r="L250"/>
      <c r="M250"/>
      <c r="N250" s="765"/>
      <c r="O250"/>
      <c r="P250"/>
      <c r="Q250" s="765"/>
      <c r="R250" s="765"/>
      <c r="S250" s="765"/>
    </row>
    <row r="251" spans="1:19" x14ac:dyDescent="0.2">
      <c r="A251" s="13"/>
      <c r="B251" s="13"/>
      <c r="C251" s="13"/>
      <c r="D251" s="13"/>
      <c r="E251"/>
      <c r="F251"/>
      <c r="G251"/>
      <c r="H251"/>
      <c r="I251"/>
      <c r="J251"/>
      <c r="K251"/>
      <c r="L251"/>
      <c r="M251"/>
      <c r="N251" s="765"/>
      <c r="O251"/>
      <c r="P251"/>
      <c r="Q251" s="765"/>
      <c r="R251" s="765"/>
      <c r="S251" s="765"/>
    </row>
    <row r="252" spans="1:19" x14ac:dyDescent="0.2">
      <c r="A252" s="13"/>
      <c r="B252" s="13"/>
      <c r="C252" s="13"/>
      <c r="D252" s="13"/>
      <c r="E252"/>
      <c r="F252"/>
      <c r="G252"/>
      <c r="H252"/>
      <c r="I252"/>
      <c r="J252"/>
      <c r="K252"/>
      <c r="L252"/>
      <c r="M252"/>
      <c r="N252" s="765"/>
      <c r="O252"/>
      <c r="P252"/>
      <c r="Q252" s="765"/>
      <c r="R252" s="765"/>
      <c r="S252" s="765"/>
    </row>
    <row r="253" spans="1:19" x14ac:dyDescent="0.2">
      <c r="A253" s="13"/>
      <c r="B253" s="13"/>
      <c r="C253" s="13"/>
      <c r="D253" s="13"/>
      <c r="E253"/>
      <c r="F253"/>
      <c r="G253"/>
      <c r="H253"/>
      <c r="I253"/>
      <c r="J253"/>
      <c r="K253"/>
      <c r="L253"/>
      <c r="M253"/>
      <c r="N253" s="765"/>
      <c r="O253"/>
      <c r="P253"/>
      <c r="Q253" s="765"/>
      <c r="R253" s="765"/>
      <c r="S253" s="765"/>
    </row>
    <row r="254" spans="1:19" x14ac:dyDescent="0.2">
      <c r="A254" s="13"/>
      <c r="B254" s="13"/>
      <c r="C254" s="13"/>
      <c r="D254" s="13"/>
      <c r="E254"/>
      <c r="F254"/>
      <c r="G254"/>
      <c r="H254"/>
      <c r="I254"/>
      <c r="J254"/>
      <c r="K254"/>
      <c r="L254"/>
      <c r="M254"/>
      <c r="N254" s="765"/>
      <c r="O254"/>
      <c r="P254"/>
      <c r="Q254" s="765"/>
      <c r="R254" s="765"/>
      <c r="S254" s="765"/>
    </row>
    <row r="255" spans="1:19" x14ac:dyDescent="0.2">
      <c r="A255" s="13"/>
      <c r="B255" s="13"/>
      <c r="C255" s="13"/>
      <c r="D255" s="13"/>
      <c r="E255"/>
      <c r="F255"/>
      <c r="G255"/>
      <c r="H255"/>
      <c r="I255"/>
      <c r="J255"/>
      <c r="K255"/>
      <c r="L255"/>
      <c r="M255"/>
      <c r="N255" s="765"/>
      <c r="O255"/>
      <c r="P255"/>
      <c r="Q255" s="765"/>
      <c r="R255" s="765"/>
      <c r="S255" s="765"/>
    </row>
    <row r="256" spans="1:19" x14ac:dyDescent="0.2">
      <c r="A256" s="13"/>
      <c r="B256" s="13"/>
      <c r="C256" s="13"/>
      <c r="D256" s="13"/>
      <c r="E256"/>
      <c r="F256"/>
      <c r="G256"/>
      <c r="H256"/>
      <c r="I256"/>
      <c r="J256"/>
      <c r="K256"/>
      <c r="L256"/>
      <c r="M256"/>
      <c r="N256" s="765"/>
      <c r="O256"/>
      <c r="P256"/>
      <c r="Q256" s="765"/>
      <c r="R256" s="765"/>
      <c r="S256" s="765"/>
    </row>
    <row r="257" spans="1:19" x14ac:dyDescent="0.2">
      <c r="A257" s="13"/>
      <c r="B257" s="13"/>
      <c r="C257" s="13"/>
      <c r="D257" s="13"/>
      <c r="E257"/>
      <c r="F257"/>
      <c r="G257"/>
      <c r="H257"/>
      <c r="I257"/>
      <c r="J257"/>
      <c r="K257"/>
      <c r="L257"/>
      <c r="M257"/>
      <c r="N257" s="765"/>
      <c r="O257"/>
      <c r="P257"/>
      <c r="Q257" s="765"/>
      <c r="R257" s="765"/>
      <c r="S257" s="765"/>
    </row>
    <row r="258" spans="1:19" x14ac:dyDescent="0.2">
      <c r="A258" s="13"/>
      <c r="B258" s="13"/>
      <c r="C258" s="13"/>
      <c r="D258" s="13"/>
      <c r="E258"/>
      <c r="F258"/>
      <c r="G258"/>
      <c r="H258"/>
      <c r="I258"/>
      <c r="J258"/>
      <c r="K258"/>
      <c r="L258"/>
      <c r="M258"/>
      <c r="N258" s="765"/>
      <c r="O258"/>
      <c r="P258"/>
      <c r="Q258" s="765"/>
      <c r="R258" s="765"/>
      <c r="S258" s="765"/>
    </row>
    <row r="259" spans="1:19" x14ac:dyDescent="0.2">
      <c r="A259" s="13"/>
      <c r="B259" s="13"/>
      <c r="C259" s="13"/>
      <c r="D259" s="13"/>
      <c r="E259"/>
      <c r="F259"/>
      <c r="G259"/>
      <c r="H259"/>
      <c r="I259"/>
      <c r="J259"/>
      <c r="K259"/>
      <c r="L259"/>
      <c r="M259"/>
      <c r="N259" s="765"/>
      <c r="O259"/>
      <c r="P259"/>
      <c r="Q259" s="765"/>
      <c r="R259" s="765"/>
      <c r="S259" s="765"/>
    </row>
    <row r="260" spans="1:19" x14ac:dyDescent="0.2">
      <c r="A260" s="13"/>
      <c r="B260" s="13"/>
      <c r="C260" s="13"/>
      <c r="D260" s="13"/>
      <c r="E260"/>
      <c r="F260"/>
      <c r="G260"/>
      <c r="H260"/>
      <c r="I260"/>
      <c r="J260"/>
      <c r="K260"/>
      <c r="L260"/>
      <c r="M260"/>
      <c r="N260" s="765"/>
      <c r="O260"/>
      <c r="P260"/>
      <c r="Q260" s="765"/>
      <c r="R260" s="765"/>
      <c r="S260" s="765"/>
    </row>
    <row r="261" spans="1:19" x14ac:dyDescent="0.2">
      <c r="A261" s="13"/>
      <c r="B261" s="13"/>
      <c r="C261" s="13"/>
      <c r="D261" s="13"/>
      <c r="E261"/>
      <c r="F261"/>
      <c r="G261"/>
      <c r="H261"/>
      <c r="I261"/>
      <c r="J261"/>
      <c r="K261"/>
      <c r="L261"/>
      <c r="M261"/>
      <c r="N261" s="765"/>
      <c r="O261"/>
      <c r="P261"/>
      <c r="Q261" s="765"/>
      <c r="R261" s="765"/>
      <c r="S261" s="765"/>
    </row>
    <row r="262" spans="1:19" x14ac:dyDescent="0.2">
      <c r="A262" s="13"/>
      <c r="B262" s="13"/>
      <c r="C262" s="13"/>
      <c r="D262" s="13"/>
      <c r="E262"/>
      <c r="F262"/>
      <c r="G262"/>
      <c r="H262"/>
      <c r="I262"/>
      <c r="J262"/>
      <c r="K262"/>
      <c r="L262"/>
      <c r="M262"/>
      <c r="N262" s="765"/>
      <c r="O262"/>
      <c r="P262"/>
      <c r="Q262" s="765"/>
      <c r="R262" s="765"/>
      <c r="S262" s="765"/>
    </row>
    <row r="263" spans="1:19" x14ac:dyDescent="0.2">
      <c r="A263" s="13"/>
      <c r="B263" s="13"/>
      <c r="C263" s="13"/>
      <c r="D263" s="13"/>
      <c r="E263"/>
      <c r="F263"/>
      <c r="G263"/>
      <c r="H263"/>
      <c r="I263"/>
      <c r="J263"/>
      <c r="K263"/>
      <c r="L263"/>
      <c r="M263"/>
      <c r="N263" s="765"/>
      <c r="O263"/>
      <c r="P263"/>
      <c r="Q263" s="765"/>
      <c r="R263" s="765"/>
      <c r="S263" s="765"/>
    </row>
    <row r="264" spans="1:19" x14ac:dyDescent="0.2">
      <c r="A264" s="13"/>
      <c r="B264" s="13"/>
      <c r="C264" s="13"/>
      <c r="D264" s="13"/>
      <c r="E264"/>
      <c r="F264"/>
      <c r="G264"/>
      <c r="H264"/>
      <c r="I264"/>
      <c r="J264"/>
      <c r="K264"/>
      <c r="L264"/>
      <c r="M264"/>
      <c r="N264" s="765"/>
      <c r="O264"/>
      <c r="P264"/>
      <c r="Q264" s="765"/>
      <c r="R264" s="765"/>
      <c r="S264" s="765"/>
    </row>
    <row r="265" spans="1:19" x14ac:dyDescent="0.2">
      <c r="A265" s="13"/>
      <c r="B265" s="13"/>
      <c r="C265" s="13"/>
      <c r="D265" s="13"/>
      <c r="E265"/>
      <c r="F265"/>
      <c r="G265"/>
      <c r="H265"/>
      <c r="I265"/>
      <c r="J265"/>
      <c r="K265"/>
      <c r="L265"/>
      <c r="M265"/>
      <c r="N265" s="765"/>
      <c r="O265"/>
      <c r="P265"/>
      <c r="Q265" s="765"/>
      <c r="R265" s="765"/>
      <c r="S265" s="765"/>
    </row>
    <row r="266" spans="1:19" x14ac:dyDescent="0.2">
      <c r="A266" s="13"/>
      <c r="B266" s="13"/>
      <c r="C266" s="13"/>
      <c r="D266" s="13"/>
      <c r="E266"/>
      <c r="F266"/>
      <c r="G266"/>
      <c r="H266"/>
      <c r="I266"/>
      <c r="J266"/>
      <c r="K266"/>
      <c r="L266"/>
      <c r="M266"/>
      <c r="N266" s="765"/>
      <c r="O266"/>
      <c r="P266"/>
      <c r="Q266" s="765"/>
      <c r="R266" s="765"/>
      <c r="S266" s="765"/>
    </row>
    <row r="267" spans="1:19" x14ac:dyDescent="0.2">
      <c r="A267" s="13"/>
      <c r="B267" s="13"/>
      <c r="C267" s="13"/>
      <c r="D267" s="13"/>
      <c r="E267"/>
      <c r="F267"/>
      <c r="G267"/>
      <c r="H267"/>
      <c r="I267"/>
      <c r="J267"/>
      <c r="K267"/>
      <c r="L267"/>
      <c r="M267"/>
      <c r="N267" s="765"/>
      <c r="O267"/>
      <c r="P267"/>
      <c r="Q267" s="765"/>
      <c r="R267" s="765"/>
      <c r="S267" s="765"/>
    </row>
    <row r="268" spans="1:19" x14ac:dyDescent="0.2">
      <c r="A268" s="13"/>
      <c r="B268" s="13"/>
      <c r="C268" s="13"/>
      <c r="D268" s="13"/>
      <c r="E268"/>
      <c r="F268"/>
      <c r="G268"/>
      <c r="H268"/>
      <c r="I268"/>
      <c r="J268"/>
      <c r="K268"/>
      <c r="L268"/>
      <c r="M268"/>
      <c r="N268" s="765"/>
      <c r="O268"/>
      <c r="P268"/>
      <c r="Q268" s="765"/>
      <c r="R268" s="765"/>
      <c r="S268" s="765"/>
    </row>
    <row r="269" spans="1:19" x14ac:dyDescent="0.2">
      <c r="A269" s="13"/>
      <c r="B269" s="13"/>
      <c r="C269" s="13"/>
      <c r="D269" s="13"/>
      <c r="E269"/>
      <c r="F269"/>
      <c r="G269"/>
      <c r="H269"/>
      <c r="I269"/>
      <c r="J269"/>
      <c r="K269"/>
      <c r="L269"/>
      <c r="M269"/>
      <c r="N269" s="765"/>
      <c r="O269"/>
      <c r="P269"/>
      <c r="Q269" s="765"/>
      <c r="R269" s="765"/>
      <c r="S269" s="765"/>
    </row>
    <row r="270" spans="1:19" x14ac:dyDescent="0.2">
      <c r="A270" s="13"/>
      <c r="B270" s="13"/>
      <c r="C270" s="13"/>
      <c r="D270" s="13"/>
      <c r="E270"/>
      <c r="F270"/>
      <c r="G270"/>
      <c r="H270"/>
      <c r="I270"/>
      <c r="J270"/>
      <c r="K270"/>
      <c r="L270"/>
      <c r="M270"/>
      <c r="N270" s="765"/>
      <c r="O270"/>
      <c r="P270"/>
      <c r="Q270" s="765"/>
      <c r="R270" s="765"/>
      <c r="S270" s="765"/>
    </row>
    <row r="271" spans="1:19" x14ac:dyDescent="0.2">
      <c r="A271" s="13"/>
      <c r="B271" s="13"/>
      <c r="C271" s="13"/>
      <c r="D271" s="13"/>
      <c r="E271"/>
      <c r="F271"/>
      <c r="G271"/>
      <c r="H271"/>
      <c r="I271"/>
      <c r="J271"/>
      <c r="K271"/>
      <c r="L271"/>
      <c r="M271"/>
      <c r="N271" s="765"/>
      <c r="O271"/>
      <c r="P271"/>
      <c r="Q271" s="765"/>
      <c r="R271" s="765"/>
      <c r="S271" s="765"/>
    </row>
    <row r="272" spans="1:19" x14ac:dyDescent="0.2">
      <c r="A272" s="13"/>
      <c r="B272" s="13"/>
      <c r="C272" s="13"/>
      <c r="D272" s="13"/>
      <c r="E272"/>
      <c r="F272"/>
      <c r="G272"/>
      <c r="H272"/>
      <c r="I272"/>
      <c r="J272"/>
      <c r="K272"/>
      <c r="L272"/>
      <c r="M272"/>
      <c r="N272" s="765"/>
      <c r="O272"/>
      <c r="P272"/>
      <c r="Q272" s="765"/>
      <c r="R272" s="765"/>
      <c r="S272" s="765"/>
    </row>
    <row r="273" spans="1:19" x14ac:dyDescent="0.2">
      <c r="A273" s="13"/>
      <c r="B273" s="13"/>
      <c r="C273" s="13"/>
      <c r="D273" s="13"/>
      <c r="E273"/>
      <c r="F273"/>
      <c r="G273"/>
      <c r="H273"/>
      <c r="I273"/>
      <c r="J273"/>
      <c r="K273"/>
      <c r="L273"/>
      <c r="M273"/>
      <c r="N273" s="765"/>
      <c r="O273"/>
      <c r="P273"/>
      <c r="Q273" s="765"/>
      <c r="R273" s="765"/>
      <c r="S273" s="765"/>
    </row>
    <row r="274" spans="1:19" x14ac:dyDescent="0.2">
      <c r="A274" s="13"/>
      <c r="B274" s="13"/>
      <c r="C274" s="13"/>
      <c r="D274" s="13"/>
      <c r="E274"/>
      <c r="F274"/>
      <c r="G274"/>
      <c r="H274"/>
      <c r="I274"/>
      <c r="J274"/>
      <c r="K274"/>
      <c r="L274"/>
      <c r="M274"/>
      <c r="N274" s="765"/>
      <c r="O274"/>
      <c r="P274"/>
      <c r="Q274" s="765"/>
      <c r="R274" s="765"/>
      <c r="S274" s="765"/>
    </row>
    <row r="275" spans="1:19" x14ac:dyDescent="0.2">
      <c r="A275" s="13"/>
      <c r="B275" s="13"/>
      <c r="C275" s="13"/>
      <c r="D275" s="13"/>
      <c r="E275"/>
      <c r="F275"/>
      <c r="G275"/>
      <c r="H275"/>
      <c r="I275"/>
      <c r="J275"/>
      <c r="K275"/>
      <c r="L275"/>
      <c r="M275"/>
      <c r="N275" s="765"/>
      <c r="O275"/>
      <c r="P275"/>
      <c r="Q275" s="765"/>
      <c r="R275" s="765"/>
      <c r="S275" s="765"/>
    </row>
    <row r="276" spans="1:19" x14ac:dyDescent="0.2">
      <c r="A276" s="13"/>
      <c r="B276" s="13"/>
      <c r="C276" s="13"/>
      <c r="D276" s="13"/>
      <c r="E276"/>
      <c r="F276"/>
      <c r="G276"/>
      <c r="H276"/>
      <c r="I276"/>
      <c r="J276"/>
      <c r="K276"/>
      <c r="L276"/>
      <c r="M276"/>
      <c r="N276" s="765"/>
      <c r="O276"/>
      <c r="P276"/>
      <c r="Q276" s="765"/>
      <c r="R276" s="765"/>
      <c r="S276" s="765"/>
    </row>
    <row r="277" spans="1:19" x14ac:dyDescent="0.2">
      <c r="A277" s="13"/>
      <c r="B277" s="13"/>
      <c r="C277" s="13"/>
      <c r="D277" s="13"/>
      <c r="E277"/>
      <c r="F277"/>
      <c r="G277"/>
      <c r="H277"/>
      <c r="I277"/>
      <c r="J277"/>
      <c r="K277"/>
      <c r="L277"/>
      <c r="M277"/>
      <c r="N277" s="765"/>
      <c r="O277"/>
      <c r="P277"/>
      <c r="Q277" s="765"/>
      <c r="R277" s="765"/>
      <c r="S277" s="765"/>
    </row>
    <row r="278" spans="1:19" x14ac:dyDescent="0.2">
      <c r="A278" s="13"/>
      <c r="B278" s="13"/>
      <c r="C278" s="13"/>
      <c r="D278" s="13"/>
      <c r="E278"/>
      <c r="F278"/>
      <c r="G278"/>
      <c r="H278"/>
      <c r="I278"/>
      <c r="J278"/>
      <c r="K278"/>
      <c r="L278"/>
      <c r="M278"/>
      <c r="N278" s="765"/>
      <c r="O278"/>
      <c r="P278"/>
      <c r="Q278" s="765"/>
      <c r="R278" s="765"/>
      <c r="S278" s="765"/>
    </row>
    <row r="279" spans="1:19" x14ac:dyDescent="0.2">
      <c r="A279" s="13"/>
      <c r="B279" s="13"/>
      <c r="C279" s="13"/>
      <c r="D279" s="13"/>
      <c r="E279"/>
      <c r="F279"/>
      <c r="G279"/>
      <c r="H279"/>
      <c r="I279"/>
      <c r="J279"/>
      <c r="K279"/>
      <c r="L279"/>
      <c r="M279"/>
      <c r="N279" s="765"/>
      <c r="O279"/>
      <c r="P279"/>
      <c r="Q279" s="765"/>
      <c r="R279" s="765"/>
      <c r="S279" s="765"/>
    </row>
    <row r="280" spans="1:19" x14ac:dyDescent="0.2">
      <c r="A280" s="13"/>
      <c r="B280" s="13"/>
      <c r="C280" s="13"/>
      <c r="D280" s="13"/>
      <c r="E280"/>
      <c r="F280"/>
      <c r="G280"/>
      <c r="H280"/>
      <c r="I280"/>
      <c r="J280"/>
      <c r="K280"/>
      <c r="L280"/>
      <c r="M280"/>
      <c r="N280" s="765"/>
      <c r="O280"/>
      <c r="P280"/>
      <c r="Q280" s="765"/>
      <c r="R280" s="765"/>
      <c r="S280" s="765"/>
    </row>
    <row r="281" spans="1:19" x14ac:dyDescent="0.2">
      <c r="A281" s="13"/>
      <c r="B281" s="13"/>
      <c r="C281" s="13"/>
      <c r="D281" s="13"/>
      <c r="E281"/>
      <c r="F281"/>
      <c r="G281"/>
      <c r="H281"/>
      <c r="I281"/>
      <c r="J281"/>
      <c r="K281"/>
      <c r="L281"/>
      <c r="M281"/>
      <c r="N281" s="765"/>
      <c r="O281"/>
      <c r="P281"/>
      <c r="Q281" s="765"/>
      <c r="R281" s="765"/>
      <c r="S281" s="765"/>
    </row>
    <row r="282" spans="1:19" x14ac:dyDescent="0.2">
      <c r="A282" s="13"/>
      <c r="B282" s="13"/>
      <c r="C282" s="13"/>
      <c r="D282" s="13"/>
      <c r="E282"/>
      <c r="F282"/>
      <c r="G282"/>
      <c r="H282"/>
      <c r="I282"/>
      <c r="J282"/>
      <c r="K282"/>
      <c r="L282"/>
      <c r="M282"/>
      <c r="N282" s="765"/>
      <c r="O282"/>
      <c r="P282"/>
      <c r="Q282" s="765"/>
      <c r="R282" s="765"/>
      <c r="S282" s="765"/>
    </row>
    <row r="283" spans="1:19" x14ac:dyDescent="0.2">
      <c r="A283" s="13"/>
      <c r="B283" s="13"/>
      <c r="C283" s="13"/>
      <c r="D283" s="13"/>
      <c r="E283"/>
      <c r="F283"/>
      <c r="G283"/>
      <c r="H283"/>
      <c r="I283"/>
      <c r="J283"/>
      <c r="K283"/>
      <c r="L283"/>
      <c r="M283"/>
      <c r="N283" s="765"/>
      <c r="O283"/>
      <c r="P283"/>
      <c r="Q283" s="765"/>
      <c r="R283" s="765"/>
      <c r="S283" s="765"/>
    </row>
    <row r="284" spans="1:19" x14ac:dyDescent="0.2">
      <c r="A284" s="13"/>
      <c r="B284" s="13"/>
      <c r="C284" s="13"/>
      <c r="D284" s="13"/>
      <c r="E284"/>
      <c r="F284"/>
      <c r="G284"/>
      <c r="H284"/>
      <c r="I284"/>
      <c r="J284"/>
      <c r="K284"/>
      <c r="L284"/>
      <c r="M284"/>
      <c r="N284" s="765"/>
      <c r="O284"/>
      <c r="P284"/>
      <c r="Q284" s="765"/>
      <c r="R284" s="765"/>
      <c r="S284" s="765"/>
    </row>
    <row r="285" spans="1:19" x14ac:dyDescent="0.2">
      <c r="A285" s="13"/>
      <c r="B285" s="13"/>
      <c r="C285" s="13"/>
      <c r="D285" s="13"/>
      <c r="E285"/>
      <c r="F285"/>
      <c r="G285"/>
      <c r="H285"/>
      <c r="I285"/>
      <c r="J285"/>
      <c r="K285"/>
      <c r="L285"/>
      <c r="M285"/>
      <c r="N285" s="765"/>
      <c r="O285"/>
      <c r="P285"/>
      <c r="Q285" s="765"/>
      <c r="R285" s="765"/>
      <c r="S285" s="765"/>
    </row>
    <row r="286" spans="1:19" x14ac:dyDescent="0.2">
      <c r="A286" s="13"/>
      <c r="B286" s="13"/>
      <c r="C286" s="13"/>
      <c r="D286" s="13"/>
      <c r="E286"/>
      <c r="F286"/>
      <c r="G286"/>
      <c r="H286"/>
      <c r="I286"/>
      <c r="J286"/>
      <c r="K286"/>
      <c r="L286"/>
      <c r="M286"/>
      <c r="N286" s="765"/>
      <c r="O286"/>
      <c r="P286"/>
      <c r="Q286" s="765"/>
      <c r="R286" s="765"/>
      <c r="S286" s="765"/>
    </row>
    <row r="287" spans="1:19" x14ac:dyDescent="0.2">
      <c r="A287" s="13"/>
      <c r="B287" s="13"/>
      <c r="C287" s="13"/>
      <c r="D287" s="13"/>
      <c r="E287"/>
      <c r="F287"/>
      <c r="G287"/>
      <c r="H287"/>
      <c r="I287"/>
      <c r="J287"/>
      <c r="K287"/>
      <c r="L287"/>
      <c r="M287"/>
      <c r="N287" s="765"/>
      <c r="O287"/>
      <c r="P287"/>
      <c r="Q287" s="765"/>
      <c r="R287" s="765"/>
      <c r="S287" s="765"/>
    </row>
    <row r="288" spans="1:19" x14ac:dyDescent="0.2">
      <c r="A288" s="13"/>
      <c r="B288" s="13"/>
      <c r="C288" s="13"/>
      <c r="D288" s="13"/>
      <c r="E288"/>
      <c r="F288"/>
      <c r="G288"/>
      <c r="H288"/>
      <c r="I288"/>
      <c r="J288"/>
      <c r="K288"/>
      <c r="L288"/>
      <c r="M288"/>
      <c r="N288" s="765"/>
      <c r="O288"/>
      <c r="P288"/>
      <c r="Q288" s="765"/>
      <c r="R288" s="765"/>
      <c r="S288" s="765"/>
    </row>
    <row r="289" spans="1:19" x14ac:dyDescent="0.2">
      <c r="A289" s="13"/>
      <c r="B289" s="13"/>
      <c r="C289" s="13"/>
      <c r="D289" s="13"/>
      <c r="E289"/>
      <c r="F289"/>
      <c r="G289"/>
      <c r="H289"/>
      <c r="I289"/>
      <c r="J289"/>
      <c r="K289"/>
      <c r="L289"/>
      <c r="M289"/>
      <c r="N289" s="765"/>
      <c r="O289"/>
      <c r="P289"/>
      <c r="Q289" s="765"/>
      <c r="R289" s="765"/>
      <c r="S289" s="765"/>
    </row>
    <row r="290" spans="1:19" x14ac:dyDescent="0.2">
      <c r="A290" s="13"/>
      <c r="B290" s="13"/>
      <c r="C290" s="13"/>
      <c r="D290" s="13"/>
      <c r="E290"/>
      <c r="F290"/>
      <c r="G290"/>
      <c r="H290"/>
      <c r="I290"/>
      <c r="J290"/>
      <c r="K290"/>
      <c r="L290"/>
      <c r="M290"/>
      <c r="N290" s="765"/>
      <c r="O290"/>
      <c r="P290"/>
      <c r="Q290" s="765"/>
      <c r="R290" s="765"/>
      <c r="S290" s="765"/>
    </row>
    <row r="291" spans="1:19" x14ac:dyDescent="0.2">
      <c r="A291" s="13"/>
      <c r="B291" s="13"/>
      <c r="C291" s="13"/>
      <c r="D291" s="13"/>
      <c r="E291"/>
      <c r="F291"/>
      <c r="G291"/>
      <c r="H291"/>
      <c r="I291"/>
      <c r="J291"/>
      <c r="K291"/>
      <c r="L291"/>
      <c r="M291"/>
      <c r="N291" s="765"/>
      <c r="O291"/>
      <c r="P291"/>
      <c r="Q291" s="765"/>
      <c r="R291" s="765"/>
      <c r="S291" s="765"/>
    </row>
    <row r="292" spans="1:19" x14ac:dyDescent="0.2">
      <c r="A292" s="13"/>
      <c r="B292" s="13"/>
      <c r="C292" s="13"/>
      <c r="D292" s="13"/>
      <c r="E292"/>
      <c r="F292"/>
      <c r="G292"/>
      <c r="H292"/>
      <c r="I292"/>
      <c r="J292"/>
      <c r="K292"/>
      <c r="L292"/>
      <c r="M292"/>
      <c r="N292" s="765"/>
      <c r="O292"/>
      <c r="P292"/>
      <c r="Q292" s="765"/>
      <c r="R292" s="765"/>
      <c r="S292" s="765"/>
    </row>
    <row r="293" spans="1:19" x14ac:dyDescent="0.2">
      <c r="A293" s="13"/>
      <c r="B293" s="13"/>
      <c r="C293" s="13"/>
      <c r="D293" s="13"/>
      <c r="E293"/>
      <c r="F293"/>
      <c r="G293"/>
      <c r="H293"/>
      <c r="I293"/>
      <c r="J293"/>
      <c r="K293"/>
      <c r="L293"/>
      <c r="M293"/>
      <c r="N293" s="765"/>
      <c r="O293"/>
      <c r="P293"/>
      <c r="Q293" s="765"/>
      <c r="R293" s="765"/>
      <c r="S293" s="765"/>
    </row>
    <row r="294" spans="1:19" x14ac:dyDescent="0.2">
      <c r="A294" s="13"/>
      <c r="B294" s="13"/>
      <c r="C294" s="13"/>
      <c r="D294" s="13"/>
      <c r="E294"/>
      <c r="F294"/>
      <c r="G294"/>
      <c r="H294"/>
      <c r="I294"/>
      <c r="J294"/>
      <c r="K294"/>
      <c r="L294"/>
      <c r="M294"/>
      <c r="N294" s="765"/>
      <c r="O294"/>
      <c r="P294"/>
      <c r="Q294" s="765"/>
      <c r="R294" s="765"/>
      <c r="S294" s="765"/>
    </row>
    <row r="295" spans="1:19" x14ac:dyDescent="0.2">
      <c r="A295" s="13"/>
      <c r="B295" s="13"/>
      <c r="C295" s="13"/>
      <c r="D295" s="13"/>
      <c r="E295"/>
      <c r="F295"/>
      <c r="G295"/>
      <c r="H295"/>
      <c r="I295"/>
      <c r="J295"/>
      <c r="K295"/>
      <c r="L295"/>
      <c r="M295"/>
      <c r="N295" s="765"/>
      <c r="O295"/>
      <c r="P295"/>
      <c r="Q295" s="765"/>
      <c r="R295" s="765"/>
      <c r="S295" s="765"/>
    </row>
    <row r="296" spans="1:19" x14ac:dyDescent="0.2">
      <c r="A296" s="13"/>
      <c r="B296" s="13"/>
      <c r="C296" s="13"/>
      <c r="D296" s="13"/>
      <c r="E296"/>
      <c r="F296"/>
      <c r="G296"/>
      <c r="H296"/>
      <c r="I296"/>
      <c r="J296"/>
      <c r="K296"/>
      <c r="L296"/>
      <c r="M296"/>
      <c r="N296" s="765"/>
      <c r="O296"/>
      <c r="P296"/>
      <c r="Q296" s="765"/>
      <c r="R296" s="765"/>
      <c r="S296" s="765"/>
    </row>
    <row r="297" spans="1:19" x14ac:dyDescent="0.2">
      <c r="A297" s="13"/>
      <c r="B297" s="13"/>
      <c r="C297" s="13"/>
      <c r="D297" s="13"/>
      <c r="E297"/>
      <c r="F297"/>
      <c r="G297"/>
      <c r="H297"/>
      <c r="I297"/>
      <c r="J297"/>
      <c r="K297"/>
      <c r="L297"/>
      <c r="M297"/>
      <c r="N297" s="765"/>
      <c r="O297"/>
      <c r="P297"/>
      <c r="Q297" s="765"/>
      <c r="R297" s="765"/>
      <c r="S297" s="765"/>
    </row>
    <row r="298" spans="1:19" x14ac:dyDescent="0.2">
      <c r="A298" s="13"/>
      <c r="B298" s="13"/>
      <c r="C298" s="13"/>
      <c r="D298" s="13"/>
      <c r="E298"/>
      <c r="F298"/>
      <c r="G298"/>
      <c r="H298"/>
      <c r="I298"/>
      <c r="J298"/>
      <c r="K298"/>
      <c r="L298"/>
      <c r="M298"/>
      <c r="N298" s="765"/>
      <c r="O298"/>
      <c r="P298"/>
      <c r="Q298" s="765"/>
      <c r="R298" s="765"/>
      <c r="S298" s="765"/>
    </row>
    <row r="299" spans="1:19" x14ac:dyDescent="0.2">
      <c r="A299" s="13"/>
      <c r="B299" s="13"/>
      <c r="C299" s="13"/>
      <c r="D299" s="13"/>
      <c r="E299"/>
      <c r="F299"/>
      <c r="G299"/>
      <c r="H299"/>
      <c r="I299"/>
      <c r="J299"/>
      <c r="K299"/>
      <c r="L299"/>
      <c r="M299"/>
      <c r="N299" s="765"/>
      <c r="O299"/>
      <c r="P299"/>
      <c r="Q299" s="765"/>
      <c r="R299" s="765"/>
      <c r="S299" s="765"/>
    </row>
    <row r="300" spans="1:19" x14ac:dyDescent="0.2">
      <c r="A300" s="13"/>
      <c r="B300" s="13"/>
      <c r="C300" s="13"/>
      <c r="D300" s="13"/>
      <c r="E300"/>
      <c r="F300"/>
      <c r="G300"/>
      <c r="H300"/>
      <c r="I300"/>
      <c r="J300"/>
      <c r="K300"/>
      <c r="L300"/>
      <c r="M300"/>
      <c r="N300" s="765"/>
      <c r="O300"/>
      <c r="P300"/>
      <c r="Q300" s="765"/>
      <c r="R300" s="765"/>
      <c r="S300" s="765"/>
    </row>
    <row r="301" spans="1:19" x14ac:dyDescent="0.2">
      <c r="A301" s="13"/>
      <c r="B301" s="13"/>
      <c r="C301" s="13"/>
      <c r="D301" s="13"/>
      <c r="E301"/>
      <c r="F301"/>
      <c r="G301"/>
      <c r="H301"/>
      <c r="I301"/>
      <c r="J301"/>
      <c r="K301"/>
      <c r="L301"/>
      <c r="M301"/>
      <c r="N301" s="765"/>
      <c r="O301"/>
      <c r="P301"/>
      <c r="Q301" s="765"/>
      <c r="R301" s="765"/>
      <c r="S301" s="765"/>
    </row>
    <row r="302" spans="1:19" x14ac:dyDescent="0.2">
      <c r="A302" s="13"/>
      <c r="B302" s="13"/>
      <c r="C302" s="13"/>
      <c r="D302" s="13"/>
      <c r="E302"/>
      <c r="F302"/>
      <c r="G302"/>
      <c r="H302"/>
      <c r="I302"/>
      <c r="J302"/>
      <c r="K302"/>
      <c r="L302"/>
      <c r="M302"/>
      <c r="N302" s="765"/>
      <c r="O302"/>
      <c r="P302"/>
      <c r="Q302" s="765"/>
      <c r="R302" s="765"/>
      <c r="S302" s="765"/>
    </row>
    <row r="303" spans="1:19" x14ac:dyDescent="0.2">
      <c r="A303" s="13"/>
      <c r="B303" s="13"/>
      <c r="C303" s="13"/>
      <c r="D303" s="13"/>
      <c r="E303"/>
      <c r="F303"/>
      <c r="G303"/>
      <c r="H303"/>
      <c r="I303"/>
      <c r="J303"/>
      <c r="K303"/>
      <c r="L303"/>
      <c r="M303"/>
      <c r="N303" s="765"/>
      <c r="O303"/>
      <c r="P303"/>
      <c r="Q303" s="765"/>
      <c r="R303" s="765"/>
      <c r="S303" s="765"/>
    </row>
    <row r="304" spans="1:19" x14ac:dyDescent="0.2">
      <c r="A304" s="13"/>
      <c r="B304" s="13"/>
      <c r="C304" s="13"/>
      <c r="D304" s="13"/>
      <c r="E304"/>
      <c r="F304"/>
      <c r="G304"/>
      <c r="H304"/>
      <c r="I304"/>
      <c r="J304"/>
      <c r="K304"/>
      <c r="L304"/>
      <c r="M304"/>
      <c r="N304" s="765"/>
      <c r="O304"/>
      <c r="P304"/>
      <c r="Q304" s="765"/>
      <c r="R304" s="765"/>
      <c r="S304" s="765"/>
    </row>
    <row r="305" spans="1:19" x14ac:dyDescent="0.2">
      <c r="A305" s="13"/>
      <c r="B305" s="13"/>
      <c r="C305" s="13"/>
      <c r="D305" s="13"/>
      <c r="E305"/>
      <c r="F305"/>
      <c r="G305"/>
      <c r="H305"/>
      <c r="I305"/>
      <c r="J305"/>
      <c r="K305"/>
      <c r="L305"/>
      <c r="M305"/>
      <c r="N305" s="765"/>
      <c r="O305"/>
      <c r="P305"/>
      <c r="Q305" s="765"/>
      <c r="R305" s="765"/>
      <c r="S305" s="765"/>
    </row>
    <row r="306" spans="1:19" x14ac:dyDescent="0.2">
      <c r="A306" s="13"/>
      <c r="B306" s="13"/>
      <c r="C306" s="13"/>
      <c r="D306" s="13"/>
      <c r="E306"/>
      <c r="F306"/>
      <c r="G306"/>
      <c r="H306"/>
      <c r="I306"/>
      <c r="J306"/>
      <c r="K306"/>
      <c r="L306"/>
      <c r="M306"/>
      <c r="N306" s="765"/>
      <c r="O306"/>
      <c r="P306"/>
      <c r="Q306" s="765"/>
      <c r="R306" s="765"/>
      <c r="S306" s="765"/>
    </row>
    <row r="307" spans="1:19" x14ac:dyDescent="0.2">
      <c r="A307" s="13"/>
      <c r="B307" s="13"/>
      <c r="C307" s="13"/>
      <c r="D307" s="13"/>
      <c r="E307"/>
      <c r="F307"/>
      <c r="G307"/>
      <c r="H307"/>
      <c r="I307"/>
      <c r="J307"/>
      <c r="K307"/>
      <c r="L307"/>
      <c r="M307"/>
      <c r="N307" s="765"/>
      <c r="O307"/>
      <c r="P307"/>
      <c r="Q307" s="765"/>
      <c r="R307" s="765"/>
      <c r="S307" s="765"/>
    </row>
    <row r="308" spans="1:19" x14ac:dyDescent="0.2">
      <c r="A308" s="13"/>
      <c r="B308" s="13"/>
      <c r="C308" s="13"/>
      <c r="D308" s="13"/>
      <c r="E308"/>
      <c r="F308"/>
      <c r="G308"/>
      <c r="H308"/>
      <c r="I308"/>
      <c r="J308"/>
      <c r="K308"/>
      <c r="L308"/>
      <c r="M308"/>
      <c r="N308" s="765"/>
      <c r="O308"/>
      <c r="P308"/>
      <c r="Q308" s="765"/>
      <c r="R308" s="765"/>
      <c r="S308" s="765"/>
    </row>
    <row r="309" spans="1:19" x14ac:dyDescent="0.2">
      <c r="A309" s="13"/>
      <c r="B309" s="13"/>
      <c r="C309" s="13"/>
      <c r="D309" s="13"/>
      <c r="E309"/>
      <c r="F309"/>
      <c r="G309"/>
      <c r="H309"/>
      <c r="I309"/>
      <c r="J309"/>
      <c r="K309"/>
      <c r="L309"/>
      <c r="M309"/>
      <c r="N309" s="765"/>
      <c r="O309"/>
      <c r="P309"/>
      <c r="Q309" s="765"/>
      <c r="R309" s="765"/>
      <c r="S309" s="765"/>
    </row>
    <row r="310" spans="1:19" x14ac:dyDescent="0.2">
      <c r="A310" s="13"/>
      <c r="B310" s="13"/>
      <c r="C310" s="13"/>
      <c r="D310" s="13"/>
      <c r="E310"/>
      <c r="F310"/>
      <c r="G310"/>
      <c r="H310"/>
      <c r="I310"/>
      <c r="J310"/>
      <c r="K310"/>
      <c r="L310"/>
      <c r="M310"/>
      <c r="N310" s="765"/>
      <c r="O310"/>
      <c r="P310"/>
      <c r="Q310" s="765"/>
      <c r="R310" s="765"/>
      <c r="S310" s="765"/>
    </row>
    <row r="311" spans="1:19" x14ac:dyDescent="0.2">
      <c r="A311" s="13"/>
      <c r="B311" s="13"/>
      <c r="C311" s="13"/>
      <c r="D311" s="13"/>
      <c r="E311"/>
      <c r="F311"/>
      <c r="G311"/>
      <c r="H311"/>
      <c r="I311"/>
      <c r="J311"/>
      <c r="K311"/>
      <c r="L311"/>
      <c r="M311"/>
      <c r="N311" s="765"/>
      <c r="O311"/>
      <c r="P311"/>
      <c r="Q311" s="765"/>
      <c r="R311" s="765"/>
      <c r="S311" s="765"/>
    </row>
    <row r="312" spans="1:19" x14ac:dyDescent="0.2">
      <c r="A312" s="13"/>
      <c r="B312" s="13"/>
      <c r="C312" s="13"/>
      <c r="D312" s="13"/>
      <c r="E312"/>
      <c r="F312"/>
      <c r="G312"/>
      <c r="H312"/>
      <c r="I312"/>
      <c r="J312"/>
      <c r="K312"/>
      <c r="L312"/>
      <c r="M312"/>
      <c r="N312" s="765"/>
      <c r="O312"/>
      <c r="P312"/>
      <c r="Q312" s="765"/>
      <c r="R312" s="765"/>
      <c r="S312" s="765"/>
    </row>
    <row r="313" spans="1:19" x14ac:dyDescent="0.2">
      <c r="A313" s="13"/>
      <c r="B313" s="13"/>
      <c r="C313" s="13"/>
      <c r="D313" s="13"/>
      <c r="E313"/>
      <c r="F313"/>
      <c r="G313"/>
      <c r="H313"/>
      <c r="I313"/>
      <c r="J313"/>
      <c r="K313"/>
      <c r="L313"/>
      <c r="M313"/>
      <c r="N313" s="765"/>
      <c r="O313"/>
      <c r="P313"/>
      <c r="Q313" s="765"/>
      <c r="R313" s="765"/>
      <c r="S313" s="765"/>
    </row>
    <row r="314" spans="1:19" x14ac:dyDescent="0.2">
      <c r="A314" s="13"/>
      <c r="B314" s="13"/>
      <c r="C314" s="13"/>
      <c r="D314" s="13"/>
      <c r="E314"/>
      <c r="F314"/>
      <c r="G314"/>
      <c r="H314"/>
      <c r="I314"/>
      <c r="J314"/>
      <c r="K314"/>
      <c r="L314"/>
      <c r="M314"/>
      <c r="N314" s="765"/>
      <c r="O314"/>
      <c r="P314"/>
      <c r="Q314" s="765"/>
      <c r="R314" s="765"/>
      <c r="S314" s="765"/>
    </row>
    <row r="315" spans="1:19" x14ac:dyDescent="0.2">
      <c r="A315" s="13"/>
      <c r="B315" s="13"/>
      <c r="C315" s="13"/>
      <c r="D315" s="13"/>
      <c r="E315"/>
      <c r="F315"/>
      <c r="G315"/>
      <c r="H315"/>
      <c r="I315"/>
      <c r="J315"/>
      <c r="K315"/>
      <c r="L315"/>
      <c r="M315"/>
      <c r="N315" s="765"/>
      <c r="O315"/>
      <c r="P315"/>
      <c r="Q315" s="765"/>
      <c r="R315" s="765"/>
      <c r="S315" s="765"/>
    </row>
    <row r="316" spans="1:19" x14ac:dyDescent="0.2">
      <c r="A316" s="13"/>
      <c r="B316" s="13"/>
      <c r="C316" s="13"/>
      <c r="D316" s="13"/>
      <c r="E316"/>
      <c r="F316"/>
      <c r="G316"/>
      <c r="H316"/>
      <c r="I316"/>
      <c r="J316"/>
      <c r="K316"/>
      <c r="L316"/>
      <c r="M316"/>
      <c r="N316" s="765"/>
      <c r="O316"/>
      <c r="P316"/>
      <c r="Q316" s="765"/>
      <c r="R316" s="765"/>
      <c r="S316" s="765"/>
    </row>
    <row r="317" spans="1:19" x14ac:dyDescent="0.2">
      <c r="A317" s="13"/>
      <c r="B317" s="13"/>
      <c r="C317" s="13"/>
      <c r="D317" s="13"/>
      <c r="E317"/>
      <c r="F317"/>
      <c r="G317"/>
      <c r="H317"/>
      <c r="I317"/>
      <c r="J317"/>
      <c r="K317"/>
      <c r="L317"/>
      <c r="M317"/>
      <c r="N317" s="765"/>
      <c r="O317"/>
      <c r="P317"/>
      <c r="Q317" s="765"/>
      <c r="R317" s="765"/>
      <c r="S317" s="765"/>
    </row>
    <row r="318" spans="1:19" x14ac:dyDescent="0.2">
      <c r="A318" s="13"/>
      <c r="B318" s="13"/>
      <c r="C318" s="13"/>
      <c r="D318" s="13"/>
      <c r="E318"/>
      <c r="F318"/>
      <c r="G318"/>
      <c r="H318"/>
      <c r="I318"/>
      <c r="J318"/>
      <c r="K318"/>
      <c r="L318"/>
      <c r="M318"/>
      <c r="N318" s="765"/>
      <c r="O318"/>
      <c r="P318"/>
      <c r="Q318" s="765"/>
      <c r="R318" s="765"/>
      <c r="S318" s="765"/>
    </row>
    <row r="319" spans="1:19" x14ac:dyDescent="0.2">
      <c r="A319" s="13"/>
      <c r="B319" s="13"/>
      <c r="C319" s="13"/>
      <c r="D319" s="13"/>
      <c r="E319"/>
      <c r="F319"/>
      <c r="G319"/>
      <c r="H319"/>
      <c r="I319"/>
      <c r="J319"/>
      <c r="K319"/>
      <c r="L319"/>
      <c r="M319"/>
      <c r="N319" s="765"/>
      <c r="O319"/>
      <c r="P319"/>
      <c r="Q319" s="765"/>
      <c r="R319" s="765"/>
      <c r="S319" s="765"/>
    </row>
    <row r="320" spans="1:19" x14ac:dyDescent="0.2">
      <c r="A320" s="13"/>
      <c r="B320" s="13"/>
      <c r="C320" s="13"/>
      <c r="D320" s="13"/>
      <c r="E320"/>
      <c r="F320"/>
      <c r="G320"/>
      <c r="H320"/>
      <c r="I320"/>
      <c r="J320"/>
      <c r="K320"/>
      <c r="L320"/>
      <c r="M320"/>
      <c r="N320" s="765"/>
      <c r="O320"/>
      <c r="P320"/>
      <c r="Q320" s="765"/>
      <c r="R320" s="765"/>
      <c r="S320" s="765"/>
    </row>
    <row r="321" spans="1:19" x14ac:dyDescent="0.2">
      <c r="A321" s="13"/>
      <c r="B321" s="13"/>
      <c r="C321" s="13"/>
      <c r="D321" s="13"/>
      <c r="E321"/>
      <c r="F321"/>
      <c r="G321"/>
      <c r="H321"/>
      <c r="I321"/>
      <c r="J321"/>
      <c r="K321"/>
      <c r="L321"/>
      <c r="M321"/>
      <c r="N321" s="765"/>
      <c r="O321"/>
      <c r="P321"/>
      <c r="Q321" s="765"/>
      <c r="R321" s="765"/>
      <c r="S321" s="765"/>
    </row>
    <row r="322" spans="1:19" x14ac:dyDescent="0.2">
      <c r="A322" s="13"/>
      <c r="B322" s="13"/>
      <c r="C322" s="13"/>
      <c r="D322" s="13"/>
      <c r="E322"/>
      <c r="F322"/>
      <c r="G322"/>
      <c r="H322"/>
      <c r="I322"/>
      <c r="J322"/>
      <c r="K322"/>
      <c r="L322"/>
      <c r="M322"/>
      <c r="N322" s="765"/>
      <c r="O322"/>
      <c r="P322"/>
      <c r="Q322" s="765"/>
      <c r="R322" s="765"/>
      <c r="S322" s="765"/>
    </row>
    <row r="323" spans="1:19" x14ac:dyDescent="0.2">
      <c r="A323" s="13"/>
      <c r="B323" s="13"/>
      <c r="C323" s="13"/>
      <c r="D323" s="13"/>
      <c r="E323"/>
      <c r="F323"/>
      <c r="G323"/>
      <c r="H323"/>
      <c r="I323"/>
      <c r="J323"/>
      <c r="K323"/>
      <c r="L323"/>
      <c r="M323"/>
      <c r="N323" s="765"/>
      <c r="O323"/>
      <c r="P323"/>
      <c r="Q323" s="765"/>
      <c r="R323" s="765"/>
      <c r="S323" s="765"/>
    </row>
    <row r="324" spans="1:19" x14ac:dyDescent="0.2">
      <c r="A324" s="13"/>
      <c r="B324" s="13"/>
      <c r="C324" s="13"/>
      <c r="D324" s="13"/>
      <c r="E324"/>
      <c r="F324"/>
      <c r="G324"/>
      <c r="H324"/>
      <c r="I324"/>
      <c r="J324"/>
      <c r="K324"/>
      <c r="L324"/>
      <c r="M324"/>
      <c r="N324" s="765"/>
      <c r="O324"/>
      <c r="P324"/>
      <c r="Q324" s="765"/>
      <c r="R324" s="765"/>
      <c r="S324" s="765"/>
    </row>
    <row r="325" spans="1:19" x14ac:dyDescent="0.2">
      <c r="A325" s="13"/>
      <c r="B325" s="13"/>
      <c r="C325" s="13"/>
      <c r="D325" s="13"/>
      <c r="E325"/>
      <c r="F325"/>
      <c r="G325"/>
      <c r="H325"/>
      <c r="I325"/>
      <c r="J325"/>
      <c r="K325"/>
      <c r="L325"/>
      <c r="M325"/>
      <c r="N325" s="765"/>
      <c r="O325"/>
      <c r="P325"/>
      <c r="Q325" s="765"/>
      <c r="R325" s="765"/>
      <c r="S325" s="765"/>
    </row>
    <row r="326" spans="1:19" x14ac:dyDescent="0.2">
      <c r="A326" s="13"/>
      <c r="B326" s="13"/>
      <c r="C326" s="13"/>
      <c r="D326" s="13"/>
      <c r="E326"/>
      <c r="F326"/>
      <c r="G326"/>
      <c r="H326"/>
      <c r="I326"/>
      <c r="J326"/>
      <c r="K326"/>
      <c r="L326"/>
      <c r="M326"/>
      <c r="N326" s="765"/>
      <c r="O326"/>
      <c r="P326"/>
      <c r="Q326" s="765"/>
      <c r="R326" s="765"/>
      <c r="S326" s="765"/>
    </row>
    <row r="327" spans="1:19" x14ac:dyDescent="0.2">
      <c r="A327" s="13"/>
      <c r="B327" s="13"/>
      <c r="C327" s="13"/>
      <c r="D327" s="13"/>
      <c r="E327"/>
      <c r="F327"/>
      <c r="G327"/>
      <c r="H327"/>
      <c r="I327"/>
      <c r="J327"/>
      <c r="K327"/>
      <c r="L327"/>
      <c r="M327"/>
      <c r="N327" s="765"/>
      <c r="O327"/>
      <c r="P327"/>
      <c r="Q327" s="765"/>
      <c r="R327" s="765"/>
      <c r="S327" s="765"/>
    </row>
    <row r="328" spans="1:19" x14ac:dyDescent="0.2">
      <c r="A328" s="13"/>
      <c r="B328" s="13"/>
      <c r="C328" s="13"/>
      <c r="D328" s="13"/>
      <c r="E328"/>
      <c r="F328"/>
      <c r="G328"/>
      <c r="H328"/>
      <c r="I328"/>
      <c r="J328"/>
      <c r="K328"/>
      <c r="L328"/>
      <c r="M328"/>
      <c r="N328" s="765"/>
      <c r="O328"/>
      <c r="P328"/>
      <c r="Q328" s="765"/>
      <c r="R328" s="765"/>
      <c r="S328" s="765"/>
    </row>
    <row r="329" spans="1:19" x14ac:dyDescent="0.2">
      <c r="A329" s="13"/>
      <c r="B329" s="13"/>
      <c r="C329" s="13"/>
      <c r="D329" s="13"/>
      <c r="E329"/>
      <c r="F329"/>
      <c r="G329"/>
      <c r="H329"/>
      <c r="I329"/>
      <c r="J329"/>
      <c r="K329"/>
      <c r="L329"/>
      <c r="M329"/>
      <c r="N329" s="765"/>
      <c r="O329"/>
      <c r="P329"/>
      <c r="Q329" s="765"/>
      <c r="R329" s="765"/>
      <c r="S329" s="765"/>
    </row>
    <row r="330" spans="1:19" x14ac:dyDescent="0.2">
      <c r="A330" s="13"/>
      <c r="B330" s="13"/>
      <c r="C330" s="13"/>
      <c r="D330" s="13"/>
      <c r="E330"/>
      <c r="F330"/>
      <c r="G330"/>
      <c r="H330"/>
      <c r="I330"/>
      <c r="J330"/>
      <c r="K330"/>
      <c r="L330"/>
      <c r="M330"/>
      <c r="N330" s="765"/>
      <c r="O330"/>
      <c r="P330"/>
      <c r="Q330" s="765"/>
      <c r="R330" s="765"/>
      <c r="S330" s="765"/>
    </row>
    <row r="331" spans="1:19" x14ac:dyDescent="0.2">
      <c r="A331" s="13"/>
      <c r="B331" s="13"/>
      <c r="C331" s="13"/>
      <c r="D331" s="13"/>
      <c r="E331"/>
      <c r="F331"/>
      <c r="G331"/>
      <c r="H331"/>
      <c r="I331"/>
      <c r="J331"/>
      <c r="K331"/>
      <c r="L331"/>
      <c r="M331"/>
      <c r="N331" s="765"/>
      <c r="O331"/>
      <c r="P331"/>
      <c r="Q331" s="765"/>
      <c r="R331" s="765"/>
      <c r="S331" s="765"/>
    </row>
    <row r="332" spans="1:19" x14ac:dyDescent="0.2">
      <c r="A332" s="13"/>
      <c r="B332" s="13"/>
      <c r="C332" s="13"/>
      <c r="D332" s="13"/>
      <c r="E332"/>
      <c r="F332"/>
      <c r="G332"/>
      <c r="H332"/>
      <c r="I332"/>
      <c r="J332"/>
      <c r="K332"/>
      <c r="L332"/>
      <c r="M332"/>
      <c r="N332" s="765"/>
      <c r="O332"/>
      <c r="P332"/>
      <c r="Q332" s="765"/>
      <c r="R332" s="765"/>
      <c r="S332" s="765"/>
    </row>
    <row r="333" spans="1:19" x14ac:dyDescent="0.2">
      <c r="A333" s="13"/>
      <c r="B333" s="13"/>
      <c r="C333" s="13"/>
      <c r="D333" s="13"/>
      <c r="E333"/>
      <c r="F333"/>
      <c r="G333"/>
      <c r="H333"/>
      <c r="I333"/>
      <c r="J333"/>
      <c r="K333"/>
      <c r="L333"/>
      <c r="M333"/>
      <c r="N333" s="765"/>
      <c r="O333"/>
      <c r="P333"/>
      <c r="Q333" s="765"/>
      <c r="R333" s="765"/>
      <c r="S333" s="765"/>
    </row>
    <row r="334" spans="1:19" x14ac:dyDescent="0.2">
      <c r="A334" s="13"/>
      <c r="B334" s="13"/>
      <c r="C334" s="13"/>
      <c r="D334" s="13"/>
      <c r="E334"/>
      <c r="F334"/>
      <c r="G334"/>
      <c r="H334"/>
      <c r="I334"/>
      <c r="J334"/>
      <c r="K334"/>
      <c r="L334"/>
      <c r="M334"/>
      <c r="N334" s="765"/>
      <c r="O334"/>
      <c r="P334"/>
      <c r="Q334" s="765"/>
      <c r="R334" s="765"/>
      <c r="S334" s="765"/>
    </row>
    <row r="335" spans="1:19" x14ac:dyDescent="0.2">
      <c r="A335" s="13"/>
      <c r="B335" s="13"/>
      <c r="C335" s="13"/>
      <c r="D335" s="13"/>
      <c r="E335"/>
      <c r="F335"/>
      <c r="G335"/>
      <c r="H335"/>
      <c r="I335"/>
      <c r="J335"/>
      <c r="K335"/>
      <c r="L335"/>
      <c r="M335"/>
      <c r="N335" s="765"/>
      <c r="O335"/>
      <c r="P335"/>
      <c r="Q335" s="765"/>
      <c r="R335" s="765"/>
      <c r="S335" s="765"/>
    </row>
    <row r="336" spans="1:19" x14ac:dyDescent="0.2">
      <c r="A336" s="13"/>
      <c r="B336" s="13"/>
      <c r="C336" s="13"/>
      <c r="D336" s="13"/>
      <c r="E336"/>
      <c r="F336"/>
      <c r="G336"/>
      <c r="H336"/>
      <c r="I336"/>
      <c r="J336"/>
      <c r="K336"/>
      <c r="L336"/>
      <c r="M336"/>
      <c r="N336" s="765"/>
      <c r="O336"/>
      <c r="P336"/>
      <c r="Q336" s="765"/>
      <c r="R336" s="765"/>
      <c r="S336" s="765"/>
    </row>
    <row r="337" spans="1:19" x14ac:dyDescent="0.2">
      <c r="A337" s="13"/>
      <c r="B337" s="13"/>
      <c r="C337" s="13"/>
      <c r="D337" s="13"/>
      <c r="E337"/>
      <c r="F337"/>
      <c r="G337"/>
      <c r="H337"/>
      <c r="I337"/>
      <c r="J337"/>
      <c r="K337"/>
      <c r="L337"/>
      <c r="M337"/>
      <c r="N337" s="765"/>
      <c r="O337"/>
      <c r="P337"/>
      <c r="Q337" s="765"/>
      <c r="R337" s="765"/>
      <c r="S337" s="765"/>
    </row>
    <row r="338" spans="1:19" x14ac:dyDescent="0.2">
      <c r="A338" s="13"/>
      <c r="B338" s="13"/>
      <c r="C338" s="13"/>
      <c r="D338" s="13"/>
      <c r="E338"/>
      <c r="F338"/>
      <c r="G338"/>
      <c r="H338"/>
      <c r="I338"/>
      <c r="J338"/>
      <c r="K338"/>
      <c r="L338"/>
      <c r="M338"/>
      <c r="N338" s="765"/>
      <c r="O338"/>
      <c r="P338"/>
      <c r="Q338" s="765"/>
      <c r="R338" s="765"/>
      <c r="S338" s="765"/>
    </row>
    <row r="339" spans="1:19" x14ac:dyDescent="0.2">
      <c r="A339" s="13"/>
      <c r="B339" s="13"/>
      <c r="C339" s="13"/>
      <c r="D339" s="13"/>
      <c r="E339"/>
      <c r="F339"/>
      <c r="G339"/>
      <c r="H339"/>
      <c r="I339"/>
      <c r="J339"/>
      <c r="K339"/>
      <c r="L339"/>
      <c r="M339"/>
      <c r="N339" s="765"/>
      <c r="O339"/>
      <c r="P339"/>
      <c r="Q339" s="765"/>
      <c r="R339" s="765"/>
      <c r="S339" s="765"/>
    </row>
    <row r="340" spans="1:19" x14ac:dyDescent="0.2">
      <c r="A340" s="13"/>
      <c r="B340" s="13"/>
      <c r="C340" s="13"/>
      <c r="D340" s="13"/>
      <c r="E340"/>
      <c r="F340"/>
      <c r="G340"/>
      <c r="H340"/>
      <c r="I340"/>
      <c r="J340"/>
      <c r="K340"/>
      <c r="L340"/>
      <c r="M340"/>
      <c r="N340" s="765"/>
      <c r="O340"/>
      <c r="P340"/>
      <c r="Q340" s="765"/>
      <c r="R340" s="765"/>
      <c r="S340" s="765"/>
    </row>
    <row r="341" spans="1:19" x14ac:dyDescent="0.2">
      <c r="A341" s="13"/>
      <c r="B341" s="13"/>
      <c r="C341" s="13"/>
      <c r="D341" s="13"/>
      <c r="E341"/>
      <c r="F341"/>
      <c r="G341"/>
      <c r="H341"/>
      <c r="I341"/>
      <c r="J341"/>
      <c r="K341"/>
      <c r="L341"/>
      <c r="M341"/>
      <c r="N341" s="765"/>
      <c r="O341"/>
      <c r="P341"/>
      <c r="Q341" s="765"/>
      <c r="R341" s="765"/>
      <c r="S341" s="765"/>
    </row>
    <row r="342" spans="1:19" x14ac:dyDescent="0.2">
      <c r="A342" s="13"/>
      <c r="B342" s="13"/>
      <c r="C342" s="13"/>
      <c r="D342" s="13"/>
      <c r="E342"/>
      <c r="F342"/>
      <c r="G342"/>
      <c r="H342"/>
      <c r="I342"/>
      <c r="J342"/>
      <c r="K342"/>
      <c r="L342"/>
      <c r="M342"/>
      <c r="N342" s="765"/>
      <c r="O342"/>
      <c r="P342"/>
      <c r="Q342" s="765"/>
      <c r="R342" s="765"/>
      <c r="S342" s="765"/>
    </row>
    <row r="343" spans="1:19" x14ac:dyDescent="0.2">
      <c r="A343" s="13"/>
      <c r="B343" s="13"/>
      <c r="C343" s="13"/>
      <c r="D343" s="13"/>
      <c r="E343"/>
      <c r="F343"/>
      <c r="G343"/>
      <c r="H343"/>
      <c r="I343"/>
      <c r="J343"/>
      <c r="K343"/>
      <c r="L343"/>
      <c r="M343"/>
      <c r="N343" s="765"/>
      <c r="O343"/>
      <c r="P343"/>
      <c r="Q343" s="765"/>
      <c r="R343" s="765"/>
      <c r="S343" s="765"/>
    </row>
    <row r="344" spans="1:19" x14ac:dyDescent="0.2">
      <c r="A344" s="13"/>
      <c r="B344" s="13"/>
      <c r="C344" s="13"/>
      <c r="D344" s="13"/>
      <c r="E344"/>
      <c r="F344"/>
      <c r="G344"/>
      <c r="H344"/>
      <c r="I344"/>
      <c r="J344"/>
      <c r="K344"/>
      <c r="L344"/>
      <c r="M344"/>
      <c r="N344" s="765"/>
      <c r="O344"/>
      <c r="P344"/>
      <c r="Q344" s="765"/>
      <c r="R344" s="765"/>
      <c r="S344" s="765"/>
    </row>
    <row r="345" spans="1:19" x14ac:dyDescent="0.2">
      <c r="A345" s="13"/>
      <c r="B345" s="13"/>
      <c r="C345" s="13"/>
      <c r="D345" s="13"/>
      <c r="E345"/>
      <c r="F345"/>
      <c r="G345"/>
      <c r="H345"/>
      <c r="I345"/>
      <c r="J345"/>
      <c r="K345"/>
      <c r="L345"/>
      <c r="M345"/>
      <c r="N345" s="765"/>
      <c r="O345"/>
      <c r="P345"/>
      <c r="Q345" s="765"/>
      <c r="R345" s="765"/>
      <c r="S345" s="765"/>
    </row>
    <row r="346" spans="1:19" x14ac:dyDescent="0.2">
      <c r="A346" s="13"/>
      <c r="B346" s="13"/>
      <c r="C346" s="13"/>
      <c r="D346" s="13"/>
      <c r="E346"/>
      <c r="F346"/>
      <c r="G346"/>
      <c r="H346"/>
      <c r="I346"/>
      <c r="J346"/>
      <c r="K346"/>
      <c r="L346"/>
      <c r="M346"/>
      <c r="N346" s="765"/>
      <c r="O346"/>
      <c r="P346"/>
      <c r="Q346" s="765"/>
      <c r="R346" s="765"/>
      <c r="S346" s="765"/>
    </row>
    <row r="347" spans="1:19" x14ac:dyDescent="0.2">
      <c r="A347" s="13"/>
      <c r="B347" s="13"/>
      <c r="C347" s="13"/>
      <c r="D347" s="13"/>
      <c r="E347"/>
      <c r="F347"/>
      <c r="G347"/>
      <c r="H347"/>
      <c r="I347"/>
      <c r="J347"/>
      <c r="K347"/>
      <c r="L347"/>
      <c r="M347"/>
      <c r="N347" s="765"/>
      <c r="O347"/>
      <c r="P347"/>
      <c r="Q347" s="765"/>
      <c r="R347" s="765"/>
      <c r="S347" s="765"/>
    </row>
    <row r="348" spans="1:19" x14ac:dyDescent="0.2">
      <c r="A348" s="13"/>
      <c r="B348" s="13"/>
      <c r="C348" s="13"/>
      <c r="D348" s="13"/>
      <c r="E348"/>
      <c r="F348"/>
      <c r="G348"/>
      <c r="H348"/>
      <c r="I348"/>
      <c r="J348"/>
      <c r="K348"/>
      <c r="L348"/>
      <c r="M348"/>
      <c r="N348" s="765"/>
      <c r="O348"/>
      <c r="P348"/>
      <c r="Q348" s="765"/>
      <c r="R348" s="765"/>
      <c r="S348" s="765"/>
    </row>
    <row r="349" spans="1:19" x14ac:dyDescent="0.2">
      <c r="A349" s="13"/>
      <c r="B349" s="13"/>
      <c r="C349" s="13"/>
      <c r="D349" s="13"/>
      <c r="E349"/>
      <c r="F349"/>
      <c r="G349"/>
      <c r="H349"/>
      <c r="I349"/>
      <c r="J349"/>
      <c r="K349"/>
      <c r="L349"/>
      <c r="M349"/>
      <c r="N349" s="765"/>
      <c r="O349"/>
      <c r="P349"/>
      <c r="Q349" s="765"/>
      <c r="R349" s="765"/>
      <c r="S349" s="765"/>
    </row>
    <row r="350" spans="1:19" x14ac:dyDescent="0.2">
      <c r="A350" s="13"/>
      <c r="B350" s="13"/>
      <c r="C350" s="13"/>
      <c r="D350" s="13"/>
      <c r="E350"/>
      <c r="F350"/>
      <c r="G350"/>
      <c r="H350"/>
      <c r="I350"/>
      <c r="J350"/>
      <c r="K350"/>
      <c r="L350"/>
      <c r="M350"/>
      <c r="N350" s="765"/>
      <c r="O350"/>
      <c r="P350"/>
      <c r="Q350" s="765"/>
      <c r="R350" s="765"/>
      <c r="S350" s="765"/>
    </row>
    <row r="351" spans="1:19" x14ac:dyDescent="0.2">
      <c r="A351" s="13"/>
      <c r="B351" s="13"/>
      <c r="C351" s="13"/>
      <c r="D351" s="13"/>
      <c r="E351"/>
      <c r="F351"/>
      <c r="G351"/>
      <c r="H351"/>
      <c r="I351"/>
      <c r="J351"/>
      <c r="K351"/>
      <c r="L351"/>
      <c r="M351"/>
      <c r="N351" s="765"/>
      <c r="O351"/>
      <c r="P351"/>
      <c r="Q351" s="765"/>
      <c r="R351" s="765"/>
      <c r="S351" s="765"/>
    </row>
    <row r="352" spans="1:19" x14ac:dyDescent="0.2">
      <c r="A352" s="13"/>
      <c r="B352" s="13"/>
      <c r="C352" s="13"/>
      <c r="D352" s="13"/>
      <c r="E352"/>
      <c r="F352"/>
      <c r="G352"/>
      <c r="H352"/>
      <c r="I352"/>
      <c r="J352"/>
      <c r="K352"/>
      <c r="L352"/>
      <c r="M352"/>
      <c r="N352" s="765"/>
      <c r="O352"/>
      <c r="P352"/>
      <c r="Q352" s="765"/>
      <c r="R352" s="765"/>
      <c r="S352" s="765"/>
    </row>
    <row r="353" spans="1:19" x14ac:dyDescent="0.2">
      <c r="A353" s="13"/>
      <c r="B353" s="13"/>
      <c r="C353" s="13"/>
      <c r="D353" s="13"/>
      <c r="E353"/>
      <c r="F353"/>
      <c r="G353"/>
      <c r="H353"/>
      <c r="I353"/>
      <c r="J353"/>
      <c r="K353"/>
      <c r="L353"/>
      <c r="M353"/>
      <c r="N353" s="765"/>
      <c r="O353"/>
      <c r="P353"/>
      <c r="Q353" s="765"/>
      <c r="R353" s="765"/>
      <c r="S353" s="765"/>
    </row>
    <row r="354" spans="1:19" x14ac:dyDescent="0.2">
      <c r="A354" s="13"/>
      <c r="B354" s="13"/>
      <c r="C354" s="13"/>
      <c r="D354" s="13"/>
      <c r="E354"/>
      <c r="F354"/>
      <c r="G354"/>
      <c r="H354"/>
      <c r="I354"/>
      <c r="J354"/>
      <c r="K354"/>
      <c r="L354"/>
      <c r="M354"/>
      <c r="N354" s="765"/>
      <c r="O354"/>
      <c r="P354"/>
      <c r="Q354" s="765"/>
      <c r="R354" s="765"/>
      <c r="S354" s="765"/>
    </row>
    <row r="355" spans="1:19" x14ac:dyDescent="0.2">
      <c r="A355" s="13"/>
      <c r="B355" s="13"/>
      <c r="C355" s="13"/>
      <c r="D355" s="13"/>
      <c r="E355"/>
      <c r="F355"/>
      <c r="G355"/>
      <c r="H355"/>
      <c r="I355"/>
      <c r="J355"/>
      <c r="K355"/>
      <c r="L355"/>
      <c r="M355"/>
      <c r="N355" s="765"/>
      <c r="O355"/>
      <c r="P355"/>
      <c r="Q355" s="765"/>
      <c r="R355" s="765"/>
      <c r="S355" s="765"/>
    </row>
    <row r="356" spans="1:19" x14ac:dyDescent="0.2">
      <c r="A356" s="13"/>
      <c r="B356" s="13"/>
      <c r="C356" s="13"/>
      <c r="D356" s="13"/>
      <c r="E356"/>
      <c r="F356"/>
      <c r="G356"/>
      <c r="H356"/>
      <c r="I356"/>
      <c r="J356"/>
      <c r="K356"/>
      <c r="L356"/>
      <c r="M356"/>
      <c r="N356" s="765"/>
      <c r="O356"/>
      <c r="P356"/>
      <c r="Q356" s="765"/>
      <c r="R356" s="765"/>
      <c r="S356" s="765"/>
    </row>
    <row r="357" spans="1:19" x14ac:dyDescent="0.2">
      <c r="A357" s="13"/>
      <c r="B357" s="13"/>
      <c r="C357" s="13"/>
      <c r="D357" s="13"/>
      <c r="E357"/>
      <c r="F357"/>
      <c r="G357"/>
      <c r="H357"/>
      <c r="I357"/>
      <c r="J357"/>
      <c r="K357"/>
      <c r="L357"/>
      <c r="M357"/>
      <c r="N357" s="765"/>
      <c r="O357"/>
      <c r="P357"/>
      <c r="Q357" s="765"/>
      <c r="R357" s="765"/>
      <c r="S357" s="765"/>
    </row>
    <row r="358" spans="1:19" x14ac:dyDescent="0.2">
      <c r="A358" s="13"/>
      <c r="B358" s="13"/>
      <c r="C358" s="13"/>
      <c r="D358" s="13"/>
      <c r="E358"/>
      <c r="F358"/>
      <c r="G358"/>
      <c r="H358"/>
      <c r="I358"/>
      <c r="J358"/>
      <c r="K358"/>
      <c r="L358"/>
      <c r="M358"/>
      <c r="N358" s="765"/>
      <c r="O358"/>
      <c r="P358"/>
      <c r="Q358" s="765"/>
      <c r="R358" s="765"/>
      <c r="S358" s="765"/>
    </row>
    <row r="359" spans="1:19" x14ac:dyDescent="0.2">
      <c r="A359" s="13"/>
      <c r="B359" s="13"/>
      <c r="C359" s="13"/>
      <c r="D359" s="13"/>
      <c r="E359"/>
      <c r="F359"/>
      <c r="G359"/>
      <c r="H359"/>
      <c r="I359"/>
      <c r="J359"/>
      <c r="K359"/>
      <c r="L359"/>
      <c r="M359"/>
      <c r="N359" s="765"/>
      <c r="O359"/>
      <c r="P359"/>
      <c r="Q359" s="765"/>
      <c r="R359" s="765"/>
      <c r="S359" s="765"/>
    </row>
    <row r="360" spans="1:19" x14ac:dyDescent="0.2">
      <c r="A360" s="13"/>
      <c r="B360" s="13"/>
      <c r="C360" s="13"/>
      <c r="D360" s="13"/>
      <c r="E360"/>
      <c r="F360"/>
      <c r="G360"/>
      <c r="H360"/>
      <c r="I360"/>
      <c r="J360"/>
      <c r="K360"/>
      <c r="L360"/>
      <c r="M360"/>
      <c r="N360" s="765"/>
      <c r="O360"/>
      <c r="P360"/>
      <c r="Q360" s="765"/>
      <c r="R360" s="765"/>
      <c r="S360" s="765"/>
    </row>
    <row r="361" spans="1:19" x14ac:dyDescent="0.2">
      <c r="A361" s="13"/>
      <c r="B361" s="13"/>
      <c r="C361" s="13"/>
      <c r="D361" s="13"/>
      <c r="E361"/>
      <c r="F361"/>
      <c r="G361"/>
      <c r="H361"/>
      <c r="I361"/>
      <c r="J361"/>
      <c r="K361"/>
      <c r="L361"/>
      <c r="M361"/>
      <c r="N361" s="765"/>
      <c r="O361"/>
      <c r="P361"/>
      <c r="Q361" s="765"/>
      <c r="R361" s="765"/>
      <c r="S361" s="765"/>
    </row>
    <row r="362" spans="1:19" x14ac:dyDescent="0.2">
      <c r="A362" s="13"/>
      <c r="B362" s="13"/>
      <c r="C362" s="13"/>
      <c r="D362" s="13"/>
      <c r="E362"/>
      <c r="F362"/>
      <c r="G362"/>
      <c r="H362"/>
      <c r="I362"/>
      <c r="J362"/>
      <c r="K362"/>
      <c r="L362"/>
      <c r="M362"/>
      <c r="N362" s="765"/>
      <c r="O362"/>
      <c r="P362"/>
      <c r="Q362" s="765"/>
      <c r="R362" s="765"/>
      <c r="S362" s="765"/>
    </row>
    <row r="363" spans="1:19" x14ac:dyDescent="0.2">
      <c r="A363" s="13"/>
      <c r="B363" s="13"/>
      <c r="C363" s="13"/>
      <c r="D363" s="13"/>
      <c r="E363"/>
      <c r="F363"/>
      <c r="G363"/>
      <c r="H363"/>
      <c r="I363"/>
      <c r="J363"/>
      <c r="K363"/>
      <c r="L363"/>
      <c r="M363"/>
      <c r="N363" s="765"/>
      <c r="O363"/>
      <c r="P363"/>
      <c r="Q363" s="765"/>
      <c r="R363" s="765"/>
      <c r="S363" s="765"/>
    </row>
    <row r="364" spans="1:19" x14ac:dyDescent="0.2">
      <c r="A364" s="13"/>
      <c r="B364" s="13"/>
      <c r="C364" s="13"/>
      <c r="D364" s="13"/>
      <c r="E364"/>
      <c r="F364"/>
      <c r="G364"/>
      <c r="H364"/>
      <c r="I364"/>
      <c r="J364"/>
      <c r="K364"/>
      <c r="L364"/>
      <c r="M364"/>
      <c r="N364" s="765"/>
      <c r="O364"/>
      <c r="P364"/>
      <c r="Q364" s="765"/>
      <c r="R364" s="765"/>
      <c r="S364" s="765"/>
    </row>
    <row r="365" spans="1:19" x14ac:dyDescent="0.2">
      <c r="A365" s="13"/>
      <c r="B365" s="13"/>
      <c r="C365" s="13"/>
      <c r="D365" s="13"/>
      <c r="E365"/>
      <c r="F365"/>
      <c r="G365"/>
      <c r="H365"/>
      <c r="I365"/>
      <c r="J365"/>
      <c r="K365"/>
      <c r="L365"/>
      <c r="M365"/>
      <c r="N365" s="765"/>
      <c r="O365"/>
      <c r="P365"/>
      <c r="Q365" s="765"/>
      <c r="R365" s="765"/>
      <c r="S365" s="765"/>
    </row>
    <row r="366" spans="1:19" x14ac:dyDescent="0.2">
      <c r="A366" s="13"/>
      <c r="B366" s="13"/>
      <c r="C366" s="13"/>
      <c r="D366" s="13"/>
      <c r="E366"/>
      <c r="F366"/>
      <c r="G366"/>
      <c r="H366"/>
      <c r="I366"/>
      <c r="J366"/>
      <c r="K366"/>
      <c r="L366"/>
      <c r="M366"/>
      <c r="N366" s="765"/>
      <c r="O366"/>
      <c r="P366"/>
      <c r="Q366" s="765"/>
      <c r="R366" s="765"/>
      <c r="S366" s="765"/>
    </row>
    <row r="367" spans="1:19" x14ac:dyDescent="0.2">
      <c r="A367" s="13"/>
      <c r="B367" s="13"/>
      <c r="C367" s="13"/>
      <c r="D367" s="13"/>
      <c r="E367"/>
      <c r="F367"/>
      <c r="G367"/>
      <c r="H367"/>
      <c r="I367"/>
      <c r="J367"/>
      <c r="K367"/>
      <c r="L367"/>
      <c r="M367"/>
      <c r="N367" s="765"/>
      <c r="O367"/>
      <c r="P367"/>
      <c r="Q367" s="765"/>
      <c r="R367" s="765"/>
      <c r="S367" s="765"/>
    </row>
    <row r="368" spans="1:19" x14ac:dyDescent="0.2">
      <c r="A368" s="13"/>
      <c r="B368" s="13"/>
      <c r="C368" s="13"/>
      <c r="D368" s="13"/>
      <c r="E368"/>
      <c r="F368"/>
      <c r="G368"/>
      <c r="H368"/>
      <c r="I368"/>
      <c r="J368"/>
      <c r="K368"/>
      <c r="L368"/>
      <c r="M368"/>
      <c r="N368" s="765"/>
      <c r="O368"/>
      <c r="P368"/>
      <c r="Q368" s="765"/>
      <c r="R368" s="765"/>
      <c r="S368" s="765"/>
    </row>
    <row r="369" spans="1:19" x14ac:dyDescent="0.2">
      <c r="A369" s="13"/>
      <c r="B369" s="13"/>
      <c r="C369" s="13"/>
      <c r="D369" s="13"/>
      <c r="E369"/>
      <c r="F369"/>
      <c r="G369"/>
      <c r="H369"/>
      <c r="I369"/>
      <c r="J369"/>
      <c r="K369"/>
      <c r="L369"/>
      <c r="M369"/>
      <c r="N369" s="765"/>
      <c r="O369"/>
      <c r="P369"/>
      <c r="Q369" s="765"/>
      <c r="R369" s="765"/>
      <c r="S369" s="765"/>
    </row>
    <row r="370" spans="1:19" x14ac:dyDescent="0.2">
      <c r="A370" s="13"/>
      <c r="B370" s="13"/>
      <c r="C370" s="13"/>
      <c r="D370" s="13"/>
      <c r="E370"/>
      <c r="F370"/>
      <c r="G370"/>
      <c r="H370"/>
      <c r="I370"/>
      <c r="J370"/>
      <c r="K370"/>
      <c r="L370"/>
      <c r="M370"/>
      <c r="N370" s="765"/>
      <c r="O370"/>
      <c r="P370"/>
      <c r="Q370" s="765"/>
      <c r="R370" s="765"/>
      <c r="S370" s="765"/>
    </row>
    <row r="371" spans="1:19" x14ac:dyDescent="0.2">
      <c r="A371" s="13"/>
      <c r="B371" s="13"/>
      <c r="C371" s="13"/>
      <c r="D371" s="13"/>
      <c r="E371"/>
      <c r="F371"/>
      <c r="G371"/>
      <c r="H371"/>
      <c r="I371"/>
      <c r="J371"/>
      <c r="K371"/>
      <c r="L371"/>
      <c r="M371"/>
      <c r="N371" s="765"/>
      <c r="O371"/>
      <c r="P371"/>
      <c r="Q371" s="765"/>
      <c r="R371" s="765"/>
      <c r="S371" s="765"/>
    </row>
    <row r="372" spans="1:19" x14ac:dyDescent="0.2">
      <c r="A372" s="13"/>
      <c r="B372" s="13"/>
      <c r="C372" s="13"/>
      <c r="D372" s="13"/>
      <c r="E372"/>
      <c r="F372"/>
      <c r="G372"/>
      <c r="H372"/>
      <c r="I372"/>
      <c r="J372"/>
      <c r="K372"/>
      <c r="L372"/>
      <c r="M372"/>
      <c r="N372" s="765"/>
      <c r="O372"/>
      <c r="P372"/>
      <c r="Q372" s="765"/>
      <c r="R372" s="765"/>
      <c r="S372" s="765"/>
    </row>
    <row r="373" spans="1:19" x14ac:dyDescent="0.2">
      <c r="A373" s="13"/>
      <c r="B373" s="13"/>
      <c r="C373" s="13"/>
      <c r="D373" s="13"/>
      <c r="E373"/>
      <c r="F373"/>
      <c r="G373"/>
      <c r="H373"/>
      <c r="I373"/>
      <c r="J373"/>
      <c r="K373"/>
      <c r="L373"/>
      <c r="M373"/>
      <c r="N373" s="765"/>
      <c r="O373"/>
      <c r="P373"/>
      <c r="Q373" s="765"/>
      <c r="R373" s="765"/>
      <c r="S373" s="765"/>
    </row>
    <row r="374" spans="1:19" x14ac:dyDescent="0.2">
      <c r="A374" s="13"/>
      <c r="B374" s="13"/>
      <c r="C374" s="13"/>
      <c r="D374" s="13"/>
      <c r="E374"/>
      <c r="F374"/>
      <c r="G374"/>
      <c r="H374"/>
      <c r="I374"/>
      <c r="J374"/>
      <c r="K374"/>
      <c r="L374"/>
      <c r="M374"/>
      <c r="N374" s="765"/>
      <c r="O374"/>
      <c r="P374"/>
      <c r="Q374" s="765"/>
      <c r="R374" s="765"/>
      <c r="S374" s="765"/>
    </row>
    <row r="375" spans="1:19" x14ac:dyDescent="0.2">
      <c r="A375" s="13"/>
      <c r="B375" s="13"/>
      <c r="C375" s="13"/>
      <c r="D375" s="13"/>
      <c r="E375"/>
      <c r="F375"/>
      <c r="G375"/>
      <c r="H375"/>
      <c r="I375"/>
      <c r="J375"/>
      <c r="K375"/>
      <c r="L375"/>
      <c r="M375"/>
      <c r="N375" s="765"/>
      <c r="O375"/>
      <c r="P375"/>
      <c r="Q375" s="765"/>
      <c r="R375" s="765"/>
      <c r="S375" s="765"/>
    </row>
    <row r="376" spans="1:19" x14ac:dyDescent="0.2">
      <c r="A376" s="13"/>
      <c r="B376" s="13"/>
      <c r="C376" s="13"/>
      <c r="D376" s="13"/>
      <c r="E376"/>
      <c r="F376"/>
      <c r="G376"/>
      <c r="H376"/>
      <c r="I376"/>
      <c r="J376"/>
      <c r="K376"/>
      <c r="L376"/>
      <c r="M376"/>
      <c r="N376" s="765"/>
      <c r="O376"/>
      <c r="P376"/>
      <c r="Q376" s="765"/>
      <c r="R376" s="765"/>
      <c r="S376" s="765"/>
    </row>
    <row r="377" spans="1:19" x14ac:dyDescent="0.2">
      <c r="A377" s="13"/>
      <c r="B377" s="13"/>
      <c r="C377" s="13"/>
      <c r="D377" s="13"/>
      <c r="E377"/>
      <c r="F377"/>
      <c r="G377"/>
      <c r="H377"/>
      <c r="I377"/>
      <c r="J377"/>
      <c r="K377"/>
      <c r="L377"/>
      <c r="M377"/>
      <c r="N377" s="765"/>
      <c r="O377"/>
      <c r="P377"/>
      <c r="Q377" s="765"/>
      <c r="R377" s="765"/>
      <c r="S377" s="765"/>
    </row>
    <row r="378" spans="1:19" x14ac:dyDescent="0.2">
      <c r="A378" s="13"/>
      <c r="B378" s="13"/>
      <c r="C378" s="13"/>
      <c r="D378" s="13"/>
      <c r="E378"/>
      <c r="F378"/>
      <c r="G378"/>
      <c r="H378"/>
      <c r="I378"/>
      <c r="J378"/>
      <c r="K378"/>
      <c r="L378"/>
      <c r="M378"/>
      <c r="N378" s="765"/>
      <c r="O378"/>
      <c r="P378"/>
      <c r="Q378" s="765"/>
      <c r="R378" s="765"/>
      <c r="S378" s="765"/>
    </row>
    <row r="379" spans="1:19" x14ac:dyDescent="0.2">
      <c r="A379" s="13"/>
      <c r="B379" s="13"/>
      <c r="C379" s="13"/>
      <c r="D379" s="13"/>
      <c r="E379"/>
      <c r="F379"/>
      <c r="G379"/>
      <c r="H379"/>
      <c r="I379"/>
      <c r="J379"/>
      <c r="K379"/>
      <c r="L379"/>
      <c r="M379"/>
      <c r="N379" s="765"/>
      <c r="O379"/>
      <c r="P379"/>
      <c r="Q379" s="765"/>
      <c r="R379" s="765"/>
      <c r="S379" s="765"/>
    </row>
    <row r="380" spans="1:19" x14ac:dyDescent="0.2">
      <c r="A380" s="13"/>
      <c r="B380" s="13"/>
      <c r="C380" s="13"/>
      <c r="D380" s="13"/>
      <c r="E380"/>
      <c r="F380"/>
      <c r="G380"/>
      <c r="H380"/>
      <c r="I380"/>
      <c r="J380"/>
      <c r="K380"/>
      <c r="L380"/>
      <c r="M380"/>
      <c r="N380" s="765"/>
      <c r="O380"/>
      <c r="P380"/>
      <c r="Q380" s="765"/>
      <c r="R380" s="765"/>
      <c r="S380" s="765"/>
    </row>
    <row r="381" spans="1:19" x14ac:dyDescent="0.2">
      <c r="A381" s="13"/>
      <c r="B381" s="13"/>
      <c r="C381" s="13"/>
      <c r="D381" s="13"/>
      <c r="E381"/>
      <c r="F381"/>
      <c r="G381"/>
      <c r="H381"/>
      <c r="I381"/>
      <c r="J381"/>
      <c r="K381"/>
      <c r="L381"/>
      <c r="M381"/>
      <c r="N381" s="765"/>
      <c r="O381"/>
      <c r="P381"/>
      <c r="Q381" s="765"/>
      <c r="R381" s="765"/>
      <c r="S381" s="765"/>
    </row>
    <row r="382" spans="1:19" x14ac:dyDescent="0.2">
      <c r="A382" s="13"/>
      <c r="B382" s="13"/>
      <c r="C382" s="13"/>
      <c r="D382" s="13"/>
      <c r="E382"/>
      <c r="F382"/>
      <c r="G382"/>
      <c r="H382"/>
      <c r="I382"/>
      <c r="J382"/>
      <c r="K382"/>
      <c r="L382"/>
      <c r="M382"/>
      <c r="N382" s="765"/>
      <c r="O382"/>
      <c r="P382"/>
      <c r="Q382" s="765"/>
      <c r="R382" s="765"/>
      <c r="S382" s="765"/>
    </row>
    <row r="383" spans="1:19" x14ac:dyDescent="0.2">
      <c r="A383" s="13"/>
      <c r="B383" s="13"/>
      <c r="C383" s="13"/>
      <c r="D383" s="13"/>
      <c r="E383"/>
      <c r="F383"/>
      <c r="G383"/>
      <c r="H383"/>
      <c r="I383"/>
      <c r="J383"/>
      <c r="K383"/>
      <c r="L383"/>
      <c r="M383"/>
      <c r="N383" s="765"/>
      <c r="O383"/>
      <c r="P383"/>
      <c r="Q383" s="765"/>
      <c r="R383" s="765"/>
      <c r="S383" s="765"/>
    </row>
    <row r="384" spans="1:19" x14ac:dyDescent="0.2">
      <c r="A384" s="13"/>
      <c r="B384" s="13"/>
      <c r="C384" s="13"/>
      <c r="D384" s="13"/>
      <c r="E384"/>
      <c r="F384"/>
      <c r="G384"/>
      <c r="H384"/>
      <c r="I384"/>
      <c r="J384"/>
      <c r="K384"/>
      <c r="L384"/>
      <c r="M384"/>
      <c r="N384" s="765"/>
      <c r="O384"/>
      <c r="P384"/>
      <c r="Q384" s="765"/>
      <c r="R384" s="765"/>
      <c r="S384" s="765"/>
    </row>
    <row r="385" spans="1:19" x14ac:dyDescent="0.2">
      <c r="A385" s="13"/>
      <c r="B385" s="13"/>
      <c r="C385" s="13"/>
      <c r="D385" s="13"/>
      <c r="E385"/>
      <c r="F385"/>
      <c r="G385"/>
      <c r="H385"/>
      <c r="I385"/>
      <c r="J385"/>
      <c r="K385"/>
      <c r="L385"/>
      <c r="M385"/>
      <c r="N385" s="765"/>
      <c r="O385"/>
      <c r="P385"/>
      <c r="Q385" s="765"/>
      <c r="R385" s="765"/>
      <c r="S385" s="765"/>
    </row>
    <row r="386" spans="1:19" x14ac:dyDescent="0.2">
      <c r="A386" s="13"/>
      <c r="B386" s="13"/>
      <c r="C386" s="13"/>
      <c r="D386" s="13"/>
      <c r="E386"/>
      <c r="F386"/>
      <c r="G386"/>
      <c r="H386"/>
      <c r="I386"/>
      <c r="J386"/>
      <c r="K386"/>
      <c r="L386"/>
      <c r="M386"/>
      <c r="N386" s="765"/>
      <c r="O386"/>
      <c r="P386"/>
      <c r="Q386" s="765"/>
      <c r="R386" s="765"/>
      <c r="S386" s="765"/>
    </row>
    <row r="387" spans="1:19" x14ac:dyDescent="0.2">
      <c r="A387" s="13"/>
      <c r="B387" s="13"/>
      <c r="C387" s="13"/>
      <c r="D387" s="13"/>
      <c r="E387"/>
      <c r="F387"/>
      <c r="G387"/>
      <c r="H387"/>
      <c r="I387"/>
      <c r="J387"/>
      <c r="K387"/>
      <c r="L387"/>
      <c r="M387"/>
      <c r="N387" s="765"/>
      <c r="O387"/>
      <c r="P387"/>
      <c r="Q387" s="765"/>
      <c r="R387" s="765"/>
      <c r="S387" s="765"/>
    </row>
    <row r="388" spans="1:19" x14ac:dyDescent="0.2">
      <c r="A388" s="13"/>
      <c r="B388" s="13"/>
      <c r="C388" s="13"/>
      <c r="D388" s="13"/>
      <c r="E388"/>
      <c r="F388"/>
      <c r="G388"/>
      <c r="H388"/>
      <c r="I388"/>
      <c r="J388"/>
      <c r="K388"/>
      <c r="L388"/>
      <c r="M388"/>
      <c r="N388" s="765"/>
      <c r="O388"/>
      <c r="P388"/>
      <c r="Q388" s="765"/>
      <c r="R388" s="765"/>
      <c r="S388" s="765"/>
    </row>
    <row r="389" spans="1:19" x14ac:dyDescent="0.2">
      <c r="A389" s="13"/>
      <c r="B389" s="13"/>
      <c r="C389" s="13"/>
      <c r="D389" s="13"/>
      <c r="E389"/>
      <c r="F389"/>
      <c r="G389"/>
      <c r="H389"/>
      <c r="I389"/>
      <c r="J389"/>
      <c r="K389"/>
      <c r="L389"/>
      <c r="M389"/>
      <c r="N389" s="765"/>
      <c r="O389"/>
      <c r="P389"/>
      <c r="Q389" s="765"/>
      <c r="R389" s="765"/>
      <c r="S389" s="765"/>
    </row>
    <row r="390" spans="1:19" x14ac:dyDescent="0.2">
      <c r="A390" s="13"/>
      <c r="B390" s="13"/>
      <c r="C390" s="13"/>
      <c r="D390" s="13"/>
      <c r="E390"/>
      <c r="F390"/>
      <c r="G390"/>
      <c r="H390"/>
      <c r="I390"/>
      <c r="J390"/>
      <c r="K390"/>
      <c r="L390"/>
      <c r="M390"/>
      <c r="N390" s="765"/>
      <c r="O390"/>
      <c r="P390"/>
      <c r="Q390" s="765"/>
      <c r="R390" s="765"/>
      <c r="S390" s="765"/>
    </row>
    <row r="391" spans="1:19" x14ac:dyDescent="0.2">
      <c r="A391" s="13"/>
      <c r="B391" s="13"/>
      <c r="C391" s="13"/>
      <c r="D391" s="13"/>
      <c r="E391"/>
      <c r="F391"/>
      <c r="G391"/>
      <c r="H391"/>
      <c r="I391"/>
      <c r="J391"/>
      <c r="K391"/>
      <c r="L391"/>
      <c r="M391"/>
      <c r="N391" s="765"/>
      <c r="O391"/>
      <c r="P391"/>
      <c r="Q391" s="765"/>
      <c r="R391" s="765"/>
      <c r="S391" s="765"/>
    </row>
    <row r="392" spans="1:19" x14ac:dyDescent="0.2">
      <c r="A392" s="13"/>
      <c r="B392" s="13"/>
      <c r="C392" s="13"/>
      <c r="D392" s="13"/>
      <c r="E392"/>
      <c r="F392"/>
      <c r="G392"/>
      <c r="H392"/>
      <c r="I392"/>
      <c r="J392"/>
      <c r="K392"/>
      <c r="L392"/>
      <c r="M392"/>
      <c r="N392" s="765"/>
      <c r="O392"/>
      <c r="P392"/>
      <c r="Q392" s="765"/>
      <c r="R392" s="765"/>
      <c r="S392" s="765"/>
    </row>
    <row r="393" spans="1:19" x14ac:dyDescent="0.2">
      <c r="A393" s="13"/>
      <c r="B393" s="13"/>
      <c r="C393" s="13"/>
      <c r="D393" s="13"/>
      <c r="E393"/>
      <c r="F393"/>
      <c r="G393"/>
      <c r="H393"/>
      <c r="I393"/>
      <c r="J393"/>
      <c r="K393"/>
      <c r="L393"/>
      <c r="M393"/>
      <c r="N393" s="765"/>
      <c r="O393"/>
      <c r="P393"/>
      <c r="Q393" s="765"/>
      <c r="R393" s="765"/>
      <c r="S393" s="765"/>
    </row>
    <row r="394" spans="1:19" x14ac:dyDescent="0.2">
      <c r="A394" s="13"/>
      <c r="B394" s="13"/>
      <c r="C394" s="13"/>
      <c r="D394" s="13"/>
      <c r="E394"/>
      <c r="F394"/>
      <c r="G394"/>
      <c r="H394"/>
      <c r="I394"/>
      <c r="J394"/>
      <c r="K394"/>
      <c r="L394"/>
      <c r="M394"/>
      <c r="N394" s="765"/>
      <c r="O394"/>
      <c r="P394"/>
      <c r="Q394" s="765"/>
      <c r="R394" s="765"/>
      <c r="S394" s="765"/>
    </row>
    <row r="395" spans="1:19" x14ac:dyDescent="0.2">
      <c r="A395" s="13"/>
      <c r="B395" s="13"/>
      <c r="C395" s="13"/>
      <c r="D395" s="13"/>
      <c r="E395"/>
      <c r="F395"/>
      <c r="G395"/>
      <c r="H395"/>
      <c r="I395"/>
      <c r="J395"/>
      <c r="K395"/>
      <c r="L395"/>
      <c r="M395"/>
      <c r="N395" s="765"/>
      <c r="O395"/>
      <c r="P395"/>
      <c r="Q395" s="765"/>
      <c r="R395" s="765"/>
      <c r="S395" s="765"/>
    </row>
    <row r="396" spans="1:19" x14ac:dyDescent="0.2">
      <c r="A396" s="13"/>
      <c r="B396" s="13"/>
      <c r="C396" s="13"/>
      <c r="D396" s="13"/>
      <c r="E396"/>
      <c r="F396"/>
      <c r="G396"/>
      <c r="H396"/>
      <c r="I396"/>
      <c r="J396"/>
      <c r="K396"/>
      <c r="L396"/>
      <c r="M396"/>
      <c r="N396" s="765"/>
      <c r="O396"/>
      <c r="P396"/>
      <c r="Q396" s="765"/>
      <c r="R396" s="765"/>
      <c r="S396" s="765"/>
    </row>
    <row r="397" spans="1:19" x14ac:dyDescent="0.2">
      <c r="A397" s="13"/>
      <c r="B397" s="13"/>
      <c r="C397" s="13"/>
      <c r="D397" s="13"/>
      <c r="E397"/>
      <c r="F397"/>
      <c r="G397"/>
      <c r="H397"/>
      <c r="I397"/>
      <c r="J397"/>
      <c r="K397"/>
      <c r="L397"/>
      <c r="M397"/>
      <c r="N397" s="765"/>
      <c r="O397"/>
      <c r="P397"/>
      <c r="Q397" s="765"/>
      <c r="R397" s="765"/>
      <c r="S397" s="765"/>
    </row>
    <row r="398" spans="1:19" x14ac:dyDescent="0.2">
      <c r="A398" s="13"/>
      <c r="B398" s="13"/>
      <c r="C398" s="13"/>
      <c r="D398" s="13"/>
      <c r="E398"/>
      <c r="F398"/>
      <c r="G398"/>
      <c r="H398"/>
      <c r="I398"/>
      <c r="J398"/>
      <c r="K398"/>
      <c r="L398"/>
      <c r="M398"/>
      <c r="N398" s="765"/>
      <c r="O398"/>
      <c r="P398"/>
      <c r="Q398" s="765"/>
      <c r="R398" s="765"/>
      <c r="S398" s="765"/>
    </row>
    <row r="399" spans="1:19" x14ac:dyDescent="0.2">
      <c r="A399" s="13"/>
      <c r="B399" s="13"/>
      <c r="C399" s="13"/>
      <c r="D399" s="13"/>
      <c r="E399"/>
      <c r="F399"/>
      <c r="G399"/>
      <c r="H399"/>
      <c r="I399"/>
      <c r="J399"/>
      <c r="K399"/>
      <c r="L399"/>
      <c r="M399"/>
      <c r="N399" s="765"/>
      <c r="O399"/>
      <c r="P399"/>
      <c r="Q399" s="765"/>
      <c r="R399" s="765"/>
      <c r="S399" s="765"/>
    </row>
    <row r="400" spans="1:19" x14ac:dyDescent="0.2">
      <c r="A400" s="13"/>
      <c r="B400" s="13"/>
      <c r="C400" s="13"/>
      <c r="D400" s="13"/>
      <c r="E400"/>
      <c r="F400"/>
      <c r="G400"/>
      <c r="H400"/>
      <c r="I400"/>
      <c r="J400"/>
      <c r="K400"/>
      <c r="L400"/>
      <c r="M400"/>
      <c r="N400" s="765"/>
      <c r="O400"/>
      <c r="P400"/>
      <c r="Q400" s="765"/>
      <c r="R400" s="765"/>
      <c r="S400" s="765"/>
    </row>
    <row r="401" spans="1:19" x14ac:dyDescent="0.2">
      <c r="A401" s="13"/>
      <c r="B401" s="13"/>
      <c r="C401" s="13"/>
      <c r="D401" s="13"/>
      <c r="E401"/>
      <c r="F401"/>
      <c r="G401"/>
      <c r="H401"/>
      <c r="I401"/>
      <c r="J401"/>
      <c r="K401"/>
      <c r="L401"/>
      <c r="M401"/>
      <c r="N401" s="765"/>
      <c r="O401"/>
      <c r="P401"/>
      <c r="Q401" s="765"/>
      <c r="R401" s="765"/>
      <c r="S401" s="765"/>
    </row>
    <row r="402" spans="1:19" x14ac:dyDescent="0.2">
      <c r="A402" s="13"/>
      <c r="B402" s="13"/>
      <c r="C402" s="13"/>
      <c r="D402" s="13"/>
      <c r="E402"/>
      <c r="F402"/>
      <c r="G402"/>
      <c r="H402"/>
      <c r="I402"/>
      <c r="J402"/>
      <c r="K402"/>
      <c r="L402"/>
      <c r="M402"/>
      <c r="N402" s="765"/>
      <c r="O402"/>
      <c r="P402"/>
      <c r="Q402" s="765"/>
      <c r="R402" s="765"/>
      <c r="S402" s="765"/>
    </row>
    <row r="403" spans="1:19" x14ac:dyDescent="0.2">
      <c r="A403" s="13"/>
      <c r="B403" s="13"/>
      <c r="C403" s="13"/>
      <c r="D403" s="13"/>
      <c r="E403"/>
      <c r="F403"/>
      <c r="G403"/>
      <c r="H403"/>
      <c r="I403"/>
      <c r="J403"/>
      <c r="K403"/>
      <c r="L403"/>
      <c r="M403"/>
      <c r="N403" s="765"/>
      <c r="O403"/>
      <c r="P403"/>
      <c r="Q403" s="765"/>
      <c r="R403" s="765"/>
      <c r="S403" s="765"/>
    </row>
    <row r="404" spans="1:19" x14ac:dyDescent="0.2">
      <c r="A404" s="13"/>
      <c r="B404" s="13"/>
      <c r="C404" s="13"/>
      <c r="D404" s="13"/>
      <c r="E404"/>
      <c r="F404"/>
      <c r="G404"/>
      <c r="H404"/>
      <c r="I404"/>
      <c r="J404"/>
      <c r="K404"/>
      <c r="L404"/>
      <c r="M404"/>
      <c r="N404" s="765"/>
      <c r="O404"/>
      <c r="P404"/>
      <c r="Q404" s="765"/>
      <c r="R404" s="765"/>
      <c r="S404" s="765"/>
    </row>
    <row r="405" spans="1:19" x14ac:dyDescent="0.2">
      <c r="A405" s="13"/>
      <c r="B405" s="13"/>
      <c r="C405" s="13"/>
      <c r="D405" s="13"/>
      <c r="E405"/>
      <c r="F405"/>
      <c r="G405"/>
      <c r="H405"/>
      <c r="I405"/>
      <c r="J405"/>
      <c r="K405"/>
      <c r="L405"/>
      <c r="M405"/>
      <c r="N405" s="765"/>
      <c r="O405"/>
      <c r="P405"/>
      <c r="Q405" s="765"/>
      <c r="R405" s="765"/>
      <c r="S405" s="765"/>
    </row>
    <row r="406" spans="1:19" x14ac:dyDescent="0.2">
      <c r="A406" s="13"/>
      <c r="B406" s="13"/>
      <c r="C406" s="13"/>
      <c r="D406" s="13"/>
      <c r="E406"/>
      <c r="F406"/>
      <c r="G406"/>
      <c r="H406"/>
      <c r="I406"/>
      <c r="J406"/>
      <c r="K406"/>
      <c r="L406"/>
      <c r="M406"/>
      <c r="N406" s="765"/>
      <c r="O406"/>
      <c r="P406"/>
      <c r="Q406" s="765"/>
      <c r="R406" s="765"/>
      <c r="S406" s="765"/>
    </row>
    <row r="407" spans="1:19" x14ac:dyDescent="0.2">
      <c r="A407" s="13"/>
      <c r="B407" s="13"/>
      <c r="C407" s="13"/>
      <c r="D407" s="13"/>
      <c r="E407"/>
      <c r="F407"/>
      <c r="G407"/>
      <c r="H407"/>
      <c r="I407"/>
      <c r="J407"/>
      <c r="K407"/>
      <c r="L407"/>
      <c r="M407"/>
      <c r="N407" s="765"/>
      <c r="O407"/>
      <c r="P407"/>
      <c r="Q407" s="765"/>
      <c r="R407" s="765"/>
      <c r="S407" s="765"/>
    </row>
    <row r="408" spans="1:19" x14ac:dyDescent="0.2">
      <c r="A408" s="13"/>
      <c r="B408" s="13"/>
      <c r="C408" s="13"/>
      <c r="D408" s="13"/>
      <c r="E408"/>
      <c r="F408"/>
      <c r="G408"/>
      <c r="H408"/>
      <c r="I408"/>
      <c r="J408"/>
      <c r="K408"/>
      <c r="L408"/>
      <c r="M408"/>
      <c r="N408" s="765"/>
      <c r="O408"/>
      <c r="P408"/>
      <c r="Q408" s="765"/>
      <c r="R408" s="765"/>
      <c r="S408" s="765"/>
    </row>
    <row r="409" spans="1:19" x14ac:dyDescent="0.2">
      <c r="A409" s="13"/>
      <c r="B409" s="13"/>
      <c r="C409" s="13"/>
      <c r="D409" s="13"/>
      <c r="E409"/>
      <c r="F409"/>
      <c r="G409"/>
      <c r="H409"/>
      <c r="I409"/>
      <c r="J409"/>
      <c r="K409"/>
      <c r="L409"/>
      <c r="M409"/>
      <c r="N409" s="765"/>
      <c r="O409"/>
      <c r="P409"/>
      <c r="Q409" s="765"/>
      <c r="R409" s="765"/>
      <c r="S409" s="765"/>
    </row>
    <row r="410" spans="1:19" x14ac:dyDescent="0.2">
      <c r="A410" s="13"/>
      <c r="B410" s="13"/>
      <c r="C410" s="13"/>
      <c r="D410" s="13"/>
      <c r="E410"/>
      <c r="F410"/>
      <c r="G410"/>
      <c r="H410"/>
      <c r="I410"/>
      <c r="J410"/>
      <c r="K410"/>
      <c r="L410"/>
      <c r="M410"/>
      <c r="N410" s="765"/>
      <c r="O410"/>
      <c r="P410"/>
      <c r="Q410" s="765"/>
      <c r="R410" s="765"/>
      <c r="S410" s="765"/>
    </row>
    <row r="411" spans="1:19" x14ac:dyDescent="0.2">
      <c r="A411" s="13"/>
      <c r="B411" s="13"/>
      <c r="C411" s="13"/>
      <c r="D411" s="13"/>
      <c r="E411"/>
      <c r="F411"/>
      <c r="G411"/>
      <c r="H411"/>
      <c r="I411"/>
      <c r="J411"/>
      <c r="K411"/>
      <c r="L411"/>
      <c r="M411"/>
      <c r="N411" s="765"/>
      <c r="O411"/>
      <c r="P411"/>
      <c r="Q411" s="765"/>
      <c r="R411" s="765"/>
      <c r="S411" s="765"/>
    </row>
    <row r="412" spans="1:19" x14ac:dyDescent="0.2">
      <c r="A412" s="13"/>
      <c r="B412" s="13"/>
      <c r="C412" s="13"/>
      <c r="D412" s="13"/>
      <c r="E412"/>
      <c r="F412"/>
      <c r="G412"/>
      <c r="H412"/>
      <c r="I412"/>
      <c r="J412"/>
      <c r="K412"/>
      <c r="L412"/>
      <c r="M412"/>
      <c r="N412" s="765"/>
      <c r="O412"/>
      <c r="P412"/>
      <c r="Q412" s="765"/>
      <c r="R412" s="765"/>
      <c r="S412" s="765"/>
    </row>
    <row r="413" spans="1:19" x14ac:dyDescent="0.2">
      <c r="A413" s="13"/>
      <c r="B413" s="13"/>
      <c r="C413" s="13"/>
      <c r="D413" s="13"/>
      <c r="E413"/>
      <c r="F413"/>
      <c r="G413"/>
      <c r="H413"/>
      <c r="I413"/>
      <c r="J413"/>
      <c r="K413"/>
      <c r="L413"/>
      <c r="M413"/>
      <c r="N413" s="765"/>
      <c r="O413"/>
      <c r="P413"/>
      <c r="Q413" s="765"/>
      <c r="R413" s="765"/>
      <c r="S413" s="765"/>
    </row>
    <row r="414" spans="1:19" x14ac:dyDescent="0.2">
      <c r="A414" s="13"/>
      <c r="B414" s="13"/>
      <c r="C414" s="13"/>
      <c r="D414" s="13"/>
      <c r="E414"/>
      <c r="F414"/>
      <c r="G414"/>
      <c r="H414"/>
      <c r="I414"/>
      <c r="J414"/>
      <c r="K414"/>
      <c r="L414"/>
      <c r="M414"/>
      <c r="N414" s="765"/>
      <c r="O414"/>
      <c r="P414"/>
      <c r="Q414" s="765"/>
      <c r="R414" s="765"/>
      <c r="S414" s="765"/>
    </row>
    <row r="415" spans="1:19" x14ac:dyDescent="0.2">
      <c r="A415" s="13"/>
      <c r="B415" s="13"/>
      <c r="C415" s="13"/>
      <c r="D415" s="13"/>
      <c r="E415"/>
      <c r="F415"/>
      <c r="G415"/>
      <c r="H415"/>
      <c r="I415"/>
      <c r="J415"/>
      <c r="K415"/>
      <c r="L415"/>
      <c r="M415"/>
      <c r="N415" s="765"/>
      <c r="O415"/>
      <c r="P415"/>
      <c r="Q415" s="765"/>
      <c r="R415" s="765"/>
      <c r="S415" s="765"/>
    </row>
    <row r="416" spans="1:19" x14ac:dyDescent="0.2">
      <c r="A416" s="13"/>
      <c r="B416" s="13"/>
      <c r="C416" s="13"/>
      <c r="D416" s="13"/>
      <c r="E416"/>
      <c r="F416"/>
      <c r="G416"/>
      <c r="H416"/>
      <c r="I416"/>
      <c r="J416"/>
      <c r="K416"/>
      <c r="L416"/>
      <c r="M416"/>
      <c r="N416" s="765"/>
      <c r="O416"/>
      <c r="P416"/>
      <c r="Q416" s="765"/>
      <c r="R416" s="765"/>
      <c r="S416" s="765"/>
    </row>
    <row r="417" spans="1:19" x14ac:dyDescent="0.2">
      <c r="A417" s="13"/>
      <c r="B417" s="13"/>
      <c r="C417" s="13"/>
      <c r="D417" s="13"/>
      <c r="E417"/>
      <c r="F417"/>
      <c r="G417"/>
      <c r="H417"/>
      <c r="I417"/>
      <c r="J417"/>
      <c r="K417"/>
      <c r="L417"/>
      <c r="M417"/>
      <c r="N417" s="765"/>
      <c r="O417"/>
      <c r="P417"/>
      <c r="Q417" s="765"/>
      <c r="R417" s="765"/>
      <c r="S417" s="765"/>
    </row>
    <row r="418" spans="1:19" x14ac:dyDescent="0.2">
      <c r="A418" s="13"/>
      <c r="B418" s="13"/>
      <c r="C418" s="13"/>
      <c r="D418" s="13"/>
      <c r="E418"/>
      <c r="F418"/>
      <c r="G418"/>
      <c r="H418"/>
      <c r="I418"/>
      <c r="J418"/>
      <c r="K418"/>
      <c r="L418"/>
      <c r="M418"/>
      <c r="N418" s="765"/>
      <c r="O418"/>
      <c r="P418"/>
      <c r="Q418" s="765"/>
      <c r="R418" s="765"/>
      <c r="S418" s="765"/>
    </row>
    <row r="419" spans="1:19" x14ac:dyDescent="0.2">
      <c r="A419" s="13"/>
      <c r="B419" s="13"/>
      <c r="C419" s="13"/>
      <c r="D419" s="13"/>
      <c r="E419"/>
      <c r="F419"/>
      <c r="G419"/>
      <c r="H419"/>
      <c r="I419"/>
      <c r="J419"/>
      <c r="K419"/>
      <c r="L419"/>
      <c r="M419"/>
      <c r="N419" s="765"/>
      <c r="O419"/>
      <c r="P419"/>
      <c r="Q419" s="765"/>
      <c r="R419" s="765"/>
      <c r="S419" s="765"/>
    </row>
    <row r="420" spans="1:19" x14ac:dyDescent="0.2">
      <c r="A420" s="13"/>
      <c r="B420" s="13"/>
      <c r="C420" s="13"/>
      <c r="D420" s="13"/>
      <c r="E420"/>
      <c r="F420"/>
      <c r="G420"/>
      <c r="H420"/>
      <c r="I420"/>
      <c r="J420"/>
      <c r="K420"/>
      <c r="L420"/>
      <c r="M420"/>
      <c r="N420" s="765"/>
      <c r="O420"/>
      <c r="P420"/>
      <c r="Q420" s="765"/>
      <c r="R420" s="765"/>
      <c r="S420" s="765"/>
    </row>
    <row r="421" spans="1:19" x14ac:dyDescent="0.2">
      <c r="A421" s="13"/>
      <c r="B421" s="13"/>
      <c r="C421" s="13"/>
      <c r="D421" s="13"/>
      <c r="E421"/>
      <c r="F421"/>
      <c r="G421"/>
      <c r="H421"/>
      <c r="I421"/>
      <c r="J421"/>
      <c r="K421"/>
      <c r="L421"/>
      <c r="M421"/>
      <c r="N421" s="765"/>
      <c r="O421"/>
      <c r="P421"/>
      <c r="Q421" s="765"/>
      <c r="R421" s="765"/>
      <c r="S421" s="765"/>
    </row>
    <row r="422" spans="1:19" x14ac:dyDescent="0.2">
      <c r="A422" s="13"/>
      <c r="B422" s="13"/>
      <c r="C422" s="13"/>
      <c r="D422" s="13"/>
      <c r="E422"/>
      <c r="F422"/>
      <c r="G422"/>
      <c r="H422"/>
      <c r="I422"/>
      <c r="J422"/>
      <c r="K422"/>
      <c r="L422"/>
      <c r="M422"/>
      <c r="N422" s="765"/>
      <c r="O422"/>
      <c r="P422"/>
      <c r="Q422" s="765"/>
      <c r="R422" s="765"/>
      <c r="S422" s="765"/>
    </row>
    <row r="423" spans="1:19" x14ac:dyDescent="0.2">
      <c r="A423" s="13"/>
      <c r="B423" s="13"/>
      <c r="C423" s="13"/>
      <c r="D423" s="13"/>
      <c r="E423"/>
      <c r="F423"/>
      <c r="G423"/>
      <c r="H423"/>
      <c r="I423"/>
      <c r="J423"/>
      <c r="K423"/>
      <c r="L423"/>
      <c r="M423"/>
      <c r="N423" s="765"/>
      <c r="O423"/>
      <c r="P423"/>
      <c r="Q423" s="765"/>
      <c r="R423" s="765"/>
      <c r="S423" s="765"/>
    </row>
    <row r="424" spans="1:19" x14ac:dyDescent="0.2">
      <c r="A424" s="13"/>
      <c r="B424" s="13"/>
      <c r="C424" s="13"/>
      <c r="D424" s="13"/>
      <c r="E424"/>
      <c r="F424"/>
      <c r="G424"/>
      <c r="H424"/>
      <c r="I424"/>
      <c r="J424"/>
      <c r="K424"/>
      <c r="L424"/>
      <c r="M424"/>
      <c r="N424" s="765"/>
      <c r="O424"/>
      <c r="P424"/>
      <c r="Q424" s="765"/>
      <c r="R424" s="765"/>
      <c r="S424" s="765"/>
    </row>
    <row r="425" spans="1:19" x14ac:dyDescent="0.2">
      <c r="A425" s="13"/>
      <c r="B425" s="13"/>
      <c r="C425" s="13"/>
      <c r="D425" s="13"/>
      <c r="E425"/>
      <c r="F425"/>
      <c r="G425"/>
      <c r="H425"/>
      <c r="I425"/>
      <c r="J425"/>
      <c r="K425"/>
      <c r="L425"/>
      <c r="M425"/>
      <c r="N425" s="765"/>
      <c r="O425"/>
      <c r="P425"/>
      <c r="Q425" s="765"/>
      <c r="R425" s="765"/>
      <c r="S425" s="765"/>
    </row>
    <row r="426" spans="1:19" x14ac:dyDescent="0.2">
      <c r="A426" s="13"/>
      <c r="B426" s="13"/>
      <c r="C426" s="13"/>
      <c r="D426" s="13"/>
      <c r="E426"/>
      <c r="F426"/>
      <c r="G426"/>
      <c r="H426"/>
      <c r="I426"/>
      <c r="J426"/>
      <c r="K426"/>
      <c r="L426"/>
      <c r="M426"/>
      <c r="N426" s="765"/>
      <c r="O426"/>
      <c r="P426"/>
      <c r="Q426" s="765"/>
      <c r="R426" s="765"/>
      <c r="S426" s="765"/>
    </row>
    <row r="427" spans="1:19" x14ac:dyDescent="0.2">
      <c r="A427" s="13"/>
      <c r="B427" s="13"/>
      <c r="C427" s="13"/>
      <c r="D427" s="13"/>
      <c r="E427"/>
      <c r="F427"/>
      <c r="G427"/>
      <c r="H427"/>
      <c r="I427"/>
      <c r="J427"/>
      <c r="K427"/>
      <c r="L427"/>
      <c r="M427"/>
      <c r="N427" s="765"/>
      <c r="O427"/>
      <c r="P427"/>
      <c r="Q427" s="765"/>
      <c r="R427" s="765"/>
      <c r="S427" s="765"/>
    </row>
    <row r="428" spans="1:19" x14ac:dyDescent="0.2">
      <c r="A428" s="13"/>
      <c r="B428" s="13"/>
      <c r="C428" s="13"/>
      <c r="D428" s="13"/>
      <c r="E428"/>
      <c r="F428"/>
      <c r="G428"/>
      <c r="H428"/>
      <c r="I428"/>
      <c r="J428"/>
      <c r="K428"/>
      <c r="L428"/>
      <c r="M428"/>
      <c r="N428" s="765"/>
      <c r="O428"/>
      <c r="P428"/>
      <c r="Q428" s="765"/>
      <c r="R428" s="765"/>
      <c r="S428" s="765"/>
    </row>
    <row r="429" spans="1:19" x14ac:dyDescent="0.2">
      <c r="A429" s="13"/>
      <c r="B429" s="13"/>
      <c r="C429" s="13"/>
      <c r="D429" s="13"/>
      <c r="E429"/>
      <c r="F429"/>
      <c r="G429"/>
      <c r="H429"/>
      <c r="I429"/>
      <c r="J429"/>
      <c r="K429"/>
      <c r="L429"/>
      <c r="M429"/>
      <c r="N429" s="765"/>
      <c r="O429"/>
      <c r="P429"/>
      <c r="Q429" s="765"/>
      <c r="R429" s="765"/>
      <c r="S429" s="765"/>
    </row>
    <row r="430" spans="1:19" x14ac:dyDescent="0.2">
      <c r="A430" s="13"/>
      <c r="B430" s="13"/>
      <c r="C430" s="13"/>
      <c r="D430" s="13"/>
      <c r="E430"/>
      <c r="F430"/>
      <c r="G430"/>
      <c r="H430"/>
      <c r="I430"/>
      <c r="J430"/>
      <c r="K430"/>
      <c r="L430"/>
      <c r="M430"/>
      <c r="N430" s="765"/>
      <c r="O430"/>
      <c r="P430"/>
      <c r="Q430" s="765"/>
      <c r="R430" s="765"/>
      <c r="S430" s="765"/>
    </row>
    <row r="431" spans="1:19" x14ac:dyDescent="0.2">
      <c r="A431" s="13"/>
      <c r="B431" s="13"/>
      <c r="C431" s="13"/>
      <c r="D431" s="13"/>
      <c r="E431"/>
      <c r="F431"/>
      <c r="G431"/>
      <c r="H431"/>
      <c r="I431"/>
      <c r="J431"/>
      <c r="K431"/>
      <c r="L431"/>
      <c r="M431"/>
      <c r="N431" s="765"/>
      <c r="O431"/>
      <c r="P431"/>
      <c r="Q431" s="765"/>
      <c r="R431" s="765"/>
      <c r="S431" s="765"/>
    </row>
    <row r="432" spans="1:19" x14ac:dyDescent="0.2">
      <c r="A432" s="13"/>
      <c r="B432" s="13"/>
      <c r="C432" s="13"/>
      <c r="D432" s="13"/>
      <c r="E432"/>
      <c r="F432"/>
      <c r="G432"/>
      <c r="H432"/>
      <c r="I432"/>
      <c r="J432"/>
      <c r="K432"/>
      <c r="L432"/>
      <c r="M432"/>
      <c r="N432" s="765"/>
      <c r="O432"/>
      <c r="P432"/>
      <c r="Q432" s="765"/>
      <c r="R432" s="765"/>
      <c r="S432" s="765"/>
    </row>
    <row r="433" spans="1:19" x14ac:dyDescent="0.2">
      <c r="A433" s="13"/>
      <c r="B433" s="13"/>
      <c r="C433" s="13"/>
      <c r="D433" s="13"/>
      <c r="E433"/>
      <c r="F433"/>
      <c r="G433"/>
      <c r="H433"/>
      <c r="I433"/>
      <c r="J433"/>
      <c r="K433"/>
      <c r="L433"/>
      <c r="M433"/>
      <c r="N433" s="765"/>
      <c r="O433"/>
      <c r="P433"/>
      <c r="Q433" s="765"/>
      <c r="R433" s="765"/>
      <c r="S433" s="765"/>
    </row>
    <row r="434" spans="1:19" x14ac:dyDescent="0.2">
      <c r="A434" s="13"/>
      <c r="B434" s="13"/>
      <c r="C434" s="13"/>
      <c r="D434" s="13"/>
      <c r="E434"/>
      <c r="F434"/>
      <c r="G434"/>
      <c r="H434"/>
      <c r="I434"/>
      <c r="J434"/>
      <c r="K434"/>
      <c r="L434"/>
      <c r="M434"/>
      <c r="N434" s="765"/>
      <c r="O434"/>
      <c r="P434"/>
      <c r="Q434" s="765"/>
      <c r="R434" s="765"/>
      <c r="S434" s="765"/>
    </row>
    <row r="435" spans="1:19" x14ac:dyDescent="0.2">
      <c r="A435" s="13"/>
      <c r="B435" s="13"/>
      <c r="C435" s="13"/>
      <c r="D435" s="13"/>
      <c r="E435"/>
      <c r="F435"/>
      <c r="G435"/>
      <c r="H435"/>
      <c r="I435"/>
      <c r="J435"/>
      <c r="K435"/>
      <c r="L435"/>
      <c r="M435"/>
      <c r="N435" s="765"/>
      <c r="O435"/>
      <c r="P435"/>
      <c r="Q435" s="765"/>
      <c r="R435" s="765"/>
      <c r="S435" s="765"/>
    </row>
    <row r="436" spans="1:19" x14ac:dyDescent="0.2">
      <c r="A436" s="13"/>
      <c r="B436" s="13"/>
      <c r="C436" s="13"/>
      <c r="D436" s="13"/>
      <c r="E436"/>
      <c r="F436"/>
      <c r="G436"/>
      <c r="H436"/>
      <c r="I436"/>
      <c r="J436"/>
      <c r="K436"/>
      <c r="L436"/>
      <c r="M436"/>
      <c r="N436" s="765"/>
      <c r="O436"/>
      <c r="P436"/>
      <c r="Q436" s="765"/>
      <c r="R436" s="765"/>
      <c r="S436" s="765"/>
    </row>
    <row r="437" spans="1:19" x14ac:dyDescent="0.2">
      <c r="A437" s="13"/>
      <c r="B437" s="13"/>
      <c r="C437" s="13"/>
      <c r="D437" s="13"/>
      <c r="E437"/>
      <c r="F437"/>
      <c r="G437"/>
      <c r="H437"/>
      <c r="I437"/>
      <c r="J437"/>
      <c r="K437"/>
      <c r="L437"/>
      <c r="M437"/>
      <c r="N437" s="765"/>
      <c r="O437"/>
      <c r="P437"/>
      <c r="Q437" s="765"/>
      <c r="R437" s="765"/>
      <c r="S437" s="765"/>
    </row>
    <row r="438" spans="1:19" x14ac:dyDescent="0.2">
      <c r="A438" s="13"/>
      <c r="B438" s="13"/>
      <c r="C438" s="13"/>
      <c r="D438" s="13"/>
      <c r="E438"/>
      <c r="F438"/>
      <c r="G438"/>
      <c r="H438"/>
      <c r="I438"/>
      <c r="J438"/>
      <c r="K438"/>
      <c r="L438"/>
      <c r="M438"/>
      <c r="N438" s="765"/>
      <c r="O438"/>
      <c r="P438"/>
      <c r="Q438" s="765"/>
      <c r="R438" s="765"/>
      <c r="S438" s="765"/>
    </row>
    <row r="439" spans="1:19" x14ac:dyDescent="0.2">
      <c r="A439" s="13"/>
      <c r="B439" s="13"/>
      <c r="C439" s="13"/>
      <c r="D439" s="13"/>
      <c r="E439"/>
      <c r="F439"/>
      <c r="G439"/>
      <c r="H439"/>
      <c r="I439"/>
      <c r="J439"/>
      <c r="K439"/>
      <c r="L439"/>
      <c r="M439"/>
      <c r="N439" s="765"/>
      <c r="O439"/>
      <c r="P439"/>
      <c r="Q439" s="765"/>
      <c r="R439" s="765"/>
      <c r="S439" s="765"/>
    </row>
    <row r="440" spans="1:19" x14ac:dyDescent="0.2">
      <c r="A440" s="13"/>
      <c r="B440" s="13"/>
      <c r="C440" s="13"/>
      <c r="D440" s="13"/>
      <c r="E440"/>
      <c r="F440"/>
      <c r="G440"/>
      <c r="H440"/>
      <c r="I440"/>
      <c r="J440"/>
      <c r="K440"/>
      <c r="L440"/>
      <c r="M440"/>
      <c r="N440" s="765"/>
      <c r="O440"/>
      <c r="P440"/>
      <c r="Q440" s="765"/>
      <c r="R440" s="765"/>
      <c r="S440" s="765"/>
    </row>
    <row r="441" spans="1:19" x14ac:dyDescent="0.2">
      <c r="A441" s="13"/>
      <c r="B441" s="13"/>
      <c r="C441" s="13"/>
      <c r="D441" s="13"/>
      <c r="E441"/>
      <c r="F441"/>
      <c r="G441"/>
      <c r="H441"/>
      <c r="I441"/>
      <c r="J441"/>
      <c r="K441"/>
      <c r="L441"/>
      <c r="M441"/>
      <c r="N441" s="765"/>
      <c r="O441"/>
      <c r="P441"/>
      <c r="Q441" s="765"/>
      <c r="R441" s="765"/>
      <c r="S441" s="765"/>
    </row>
    <row r="442" spans="1:19" x14ac:dyDescent="0.2">
      <c r="A442" s="13"/>
      <c r="B442" s="13"/>
      <c r="C442" s="13"/>
      <c r="D442" s="13"/>
      <c r="E442"/>
      <c r="F442"/>
      <c r="G442"/>
      <c r="H442"/>
      <c r="I442"/>
      <c r="J442"/>
      <c r="K442"/>
      <c r="L442"/>
      <c r="M442"/>
      <c r="N442" s="765"/>
      <c r="O442"/>
      <c r="P442"/>
      <c r="Q442" s="765"/>
      <c r="R442" s="765"/>
      <c r="S442" s="765"/>
    </row>
    <row r="443" spans="1:19" x14ac:dyDescent="0.2">
      <c r="A443" s="13"/>
      <c r="B443" s="13"/>
      <c r="C443" s="13"/>
      <c r="D443" s="13"/>
      <c r="E443"/>
      <c r="F443"/>
      <c r="G443"/>
      <c r="H443"/>
      <c r="I443"/>
      <c r="J443"/>
      <c r="K443"/>
      <c r="L443"/>
      <c r="M443"/>
      <c r="N443" s="765"/>
      <c r="O443"/>
      <c r="P443"/>
      <c r="Q443" s="765"/>
      <c r="R443" s="765"/>
      <c r="S443" s="765"/>
    </row>
    <row r="444" spans="1:19" x14ac:dyDescent="0.2">
      <c r="A444" s="13"/>
      <c r="B444" s="13"/>
      <c r="C444" s="13"/>
      <c r="D444" s="13"/>
      <c r="E444"/>
      <c r="F444"/>
      <c r="G444"/>
      <c r="H444"/>
      <c r="I444"/>
      <c r="J444"/>
      <c r="K444"/>
      <c r="L444"/>
      <c r="M444"/>
      <c r="N444" s="765"/>
      <c r="O444"/>
      <c r="P444"/>
      <c r="Q444" s="765"/>
      <c r="R444" s="765"/>
      <c r="S444" s="765"/>
    </row>
    <row r="445" spans="1:19" x14ac:dyDescent="0.2">
      <c r="A445" s="13"/>
      <c r="B445" s="13"/>
      <c r="C445" s="13"/>
      <c r="D445" s="13"/>
      <c r="E445"/>
      <c r="F445"/>
      <c r="G445"/>
      <c r="H445"/>
      <c r="I445"/>
      <c r="J445"/>
      <c r="K445"/>
      <c r="L445"/>
      <c r="M445"/>
      <c r="N445" s="765"/>
      <c r="O445"/>
      <c r="P445"/>
      <c r="Q445" s="765"/>
      <c r="R445" s="765"/>
      <c r="S445" s="765"/>
    </row>
    <row r="446" spans="1:19" x14ac:dyDescent="0.2">
      <c r="A446" s="13"/>
      <c r="B446" s="13"/>
      <c r="C446" s="13"/>
      <c r="D446" s="13"/>
      <c r="E446"/>
      <c r="F446"/>
      <c r="G446"/>
      <c r="H446"/>
      <c r="I446"/>
      <c r="J446"/>
      <c r="K446"/>
      <c r="L446"/>
      <c r="M446"/>
      <c r="N446" s="765"/>
      <c r="O446"/>
      <c r="P446"/>
      <c r="Q446" s="765"/>
      <c r="R446" s="765"/>
      <c r="S446" s="765"/>
    </row>
    <row r="447" spans="1:19" x14ac:dyDescent="0.2">
      <c r="A447" s="13"/>
      <c r="B447" s="13"/>
      <c r="C447" s="13"/>
      <c r="D447" s="13"/>
      <c r="E447"/>
      <c r="F447"/>
      <c r="G447"/>
      <c r="H447"/>
      <c r="I447"/>
      <c r="J447"/>
      <c r="K447"/>
      <c r="L447"/>
      <c r="M447"/>
      <c r="N447" s="765"/>
      <c r="O447"/>
      <c r="P447"/>
      <c r="Q447" s="765"/>
      <c r="R447" s="765"/>
      <c r="S447" s="765"/>
    </row>
    <row r="448" spans="1:19" x14ac:dyDescent="0.2">
      <c r="A448" s="13"/>
      <c r="B448" s="13"/>
      <c r="C448" s="13"/>
      <c r="D448" s="13"/>
      <c r="E448"/>
      <c r="F448"/>
      <c r="G448"/>
      <c r="H448"/>
      <c r="I448"/>
      <c r="J448"/>
      <c r="K448"/>
      <c r="L448"/>
      <c r="M448"/>
      <c r="N448" s="765"/>
      <c r="O448"/>
      <c r="P448"/>
      <c r="Q448" s="765"/>
      <c r="R448" s="765"/>
      <c r="S448" s="765"/>
    </row>
    <row r="449" spans="1:19" x14ac:dyDescent="0.2">
      <c r="A449" s="13"/>
      <c r="B449" s="13"/>
      <c r="C449" s="13"/>
      <c r="D449" s="13"/>
      <c r="E449"/>
      <c r="F449"/>
      <c r="G449"/>
      <c r="H449"/>
      <c r="I449"/>
      <c r="J449"/>
      <c r="K449"/>
      <c r="L449"/>
      <c r="M449"/>
      <c r="N449" s="765"/>
      <c r="O449"/>
      <c r="P449"/>
      <c r="Q449" s="765"/>
      <c r="R449" s="765"/>
      <c r="S449" s="765"/>
    </row>
    <row r="450" spans="1:19" x14ac:dyDescent="0.2">
      <c r="A450" s="13"/>
      <c r="B450" s="13"/>
      <c r="C450" s="13"/>
      <c r="D450" s="13"/>
      <c r="E450"/>
      <c r="F450"/>
      <c r="G450"/>
      <c r="H450"/>
      <c r="I450"/>
      <c r="J450"/>
      <c r="K450"/>
      <c r="L450"/>
      <c r="M450"/>
      <c r="N450" s="765"/>
      <c r="O450"/>
      <c r="P450"/>
      <c r="Q450" s="765"/>
      <c r="R450" s="765"/>
      <c r="S450" s="765"/>
    </row>
    <row r="451" spans="1:19" x14ac:dyDescent="0.2">
      <c r="A451" s="13"/>
      <c r="B451" s="13"/>
      <c r="C451" s="13"/>
      <c r="D451" s="13"/>
      <c r="E451"/>
      <c r="F451"/>
      <c r="G451"/>
      <c r="H451"/>
      <c r="I451"/>
      <c r="J451"/>
      <c r="K451"/>
      <c r="L451"/>
      <c r="M451"/>
      <c r="N451" s="765"/>
      <c r="O451"/>
      <c r="P451"/>
      <c r="Q451" s="765"/>
      <c r="R451" s="765"/>
      <c r="S451" s="765"/>
    </row>
    <row r="452" spans="1:19" x14ac:dyDescent="0.2">
      <c r="A452" s="13"/>
      <c r="B452" s="13"/>
      <c r="C452" s="13"/>
      <c r="D452" s="13"/>
      <c r="E452"/>
      <c r="F452"/>
      <c r="G452"/>
      <c r="H452"/>
      <c r="I452"/>
      <c r="J452"/>
      <c r="K452"/>
      <c r="L452"/>
      <c r="M452"/>
      <c r="N452" s="765"/>
      <c r="O452"/>
      <c r="P452"/>
      <c r="Q452" s="765"/>
      <c r="R452" s="765"/>
      <c r="S452" s="765"/>
    </row>
    <row r="453" spans="1:19" x14ac:dyDescent="0.2">
      <c r="A453" s="13"/>
      <c r="B453" s="13"/>
      <c r="C453" s="13"/>
      <c r="D453" s="13"/>
      <c r="E453"/>
      <c r="F453"/>
      <c r="G453"/>
      <c r="H453"/>
      <c r="I453"/>
      <c r="J453"/>
      <c r="K453"/>
      <c r="L453"/>
      <c r="M453"/>
      <c r="N453" s="765"/>
      <c r="O453"/>
      <c r="P453"/>
      <c r="Q453" s="765"/>
      <c r="R453" s="765"/>
      <c r="S453" s="765"/>
    </row>
    <row r="454" spans="1:19" x14ac:dyDescent="0.2">
      <c r="A454" s="13"/>
      <c r="B454" s="13"/>
      <c r="C454" s="13"/>
      <c r="D454" s="13"/>
      <c r="E454"/>
      <c r="F454"/>
      <c r="G454"/>
      <c r="H454"/>
      <c r="I454"/>
      <c r="J454"/>
      <c r="K454"/>
      <c r="L454"/>
      <c r="M454"/>
      <c r="N454" s="765"/>
      <c r="O454"/>
      <c r="P454"/>
      <c r="Q454" s="765"/>
      <c r="R454" s="765"/>
      <c r="S454" s="765"/>
    </row>
    <row r="455" spans="1:19" x14ac:dyDescent="0.2">
      <c r="A455" s="13"/>
      <c r="B455" s="13"/>
      <c r="C455" s="13"/>
      <c r="D455" s="13"/>
      <c r="E455"/>
      <c r="F455"/>
      <c r="G455"/>
      <c r="H455"/>
      <c r="I455"/>
      <c r="J455"/>
      <c r="K455"/>
      <c r="L455"/>
      <c r="M455"/>
      <c r="N455" s="765"/>
      <c r="O455"/>
      <c r="P455"/>
      <c r="Q455" s="765"/>
      <c r="R455" s="765"/>
      <c r="S455" s="765"/>
    </row>
    <row r="456" spans="1:19" x14ac:dyDescent="0.2">
      <c r="A456" s="13"/>
      <c r="B456" s="13"/>
      <c r="C456" s="13"/>
      <c r="D456" s="13"/>
      <c r="E456"/>
      <c r="F456"/>
      <c r="G456"/>
      <c r="H456"/>
      <c r="I456"/>
      <c r="J456"/>
      <c r="K456"/>
      <c r="L456"/>
      <c r="M456"/>
      <c r="N456" s="765"/>
      <c r="O456"/>
      <c r="P456"/>
      <c r="Q456" s="765"/>
      <c r="R456" s="765"/>
      <c r="S456" s="765"/>
    </row>
    <row r="457" spans="1:19" x14ac:dyDescent="0.2">
      <c r="A457" s="13"/>
      <c r="B457" s="13"/>
      <c r="C457" s="13"/>
      <c r="D457" s="13"/>
      <c r="E457"/>
      <c r="F457"/>
      <c r="G457"/>
      <c r="H457"/>
      <c r="I457"/>
      <c r="J457"/>
      <c r="K457"/>
      <c r="L457"/>
      <c r="M457"/>
      <c r="N457" s="765"/>
      <c r="O457"/>
      <c r="P457"/>
      <c r="Q457" s="765"/>
      <c r="R457" s="765"/>
      <c r="S457" s="765"/>
    </row>
    <row r="458" spans="1:19" x14ac:dyDescent="0.2">
      <c r="A458" s="13"/>
      <c r="B458" s="13"/>
      <c r="C458" s="13"/>
      <c r="D458" s="13"/>
      <c r="E458"/>
      <c r="F458"/>
      <c r="G458"/>
      <c r="H458"/>
      <c r="I458"/>
      <c r="J458"/>
      <c r="K458"/>
      <c r="L458"/>
      <c r="M458"/>
      <c r="N458" s="765"/>
      <c r="O458"/>
      <c r="P458"/>
      <c r="Q458" s="765"/>
      <c r="R458" s="765"/>
      <c r="S458" s="765"/>
    </row>
    <row r="459" spans="1:19" x14ac:dyDescent="0.2">
      <c r="A459" s="13"/>
      <c r="B459" s="13"/>
      <c r="C459" s="13"/>
      <c r="D459" s="13"/>
      <c r="E459"/>
      <c r="F459"/>
      <c r="G459"/>
      <c r="H459"/>
      <c r="I459"/>
      <c r="J459"/>
      <c r="K459"/>
      <c r="L459"/>
      <c r="M459"/>
      <c r="N459" s="765"/>
      <c r="O459"/>
      <c r="P459"/>
      <c r="Q459" s="765"/>
      <c r="R459" s="765"/>
      <c r="S459" s="765"/>
    </row>
    <row r="460" spans="1:19" x14ac:dyDescent="0.2">
      <c r="A460" s="13"/>
      <c r="B460" s="13"/>
      <c r="C460" s="13"/>
      <c r="D460" s="13"/>
      <c r="E460"/>
      <c r="F460"/>
      <c r="G460"/>
      <c r="H460"/>
      <c r="I460"/>
      <c r="J460"/>
      <c r="K460"/>
      <c r="L460"/>
      <c r="M460"/>
      <c r="N460" s="765"/>
      <c r="O460"/>
      <c r="P460"/>
      <c r="Q460" s="765"/>
      <c r="R460" s="765"/>
      <c r="S460" s="765"/>
    </row>
    <row r="461" spans="1:19" x14ac:dyDescent="0.2">
      <c r="A461" s="13"/>
      <c r="B461" s="13"/>
      <c r="C461" s="13"/>
      <c r="D461" s="13"/>
      <c r="E461"/>
      <c r="F461"/>
      <c r="G461"/>
      <c r="H461"/>
      <c r="I461"/>
      <c r="J461"/>
      <c r="K461"/>
      <c r="L461"/>
      <c r="M461"/>
      <c r="N461" s="765"/>
      <c r="O461"/>
      <c r="P461"/>
      <c r="Q461" s="765"/>
      <c r="R461" s="765"/>
      <c r="S461" s="765"/>
    </row>
    <row r="462" spans="1:19" x14ac:dyDescent="0.2">
      <c r="A462" s="13"/>
      <c r="B462" s="13"/>
      <c r="C462" s="13"/>
      <c r="D462" s="13"/>
      <c r="E462"/>
      <c r="F462"/>
      <c r="G462"/>
      <c r="H462"/>
      <c r="I462"/>
      <c r="J462"/>
      <c r="K462"/>
      <c r="L462"/>
      <c r="M462"/>
      <c r="N462" s="765"/>
      <c r="O462"/>
      <c r="P462"/>
      <c r="Q462" s="765"/>
      <c r="R462" s="765"/>
      <c r="S462" s="765"/>
    </row>
    <row r="463" spans="1:19" x14ac:dyDescent="0.2">
      <c r="A463" s="13"/>
      <c r="B463" s="13"/>
      <c r="C463" s="13"/>
      <c r="D463" s="13"/>
      <c r="E463"/>
      <c r="F463"/>
      <c r="G463"/>
      <c r="H463"/>
      <c r="I463"/>
      <c r="J463"/>
      <c r="K463"/>
      <c r="L463"/>
      <c r="M463"/>
      <c r="N463" s="765"/>
      <c r="O463"/>
      <c r="P463"/>
      <c r="Q463" s="765"/>
      <c r="R463" s="765"/>
      <c r="S463" s="765"/>
    </row>
    <row r="464" spans="1:19" x14ac:dyDescent="0.2">
      <c r="A464" s="13"/>
      <c r="B464" s="13"/>
      <c r="C464" s="13"/>
      <c r="D464" s="13"/>
      <c r="E464"/>
      <c r="F464"/>
      <c r="G464"/>
      <c r="H464"/>
      <c r="I464"/>
      <c r="J464"/>
      <c r="K464"/>
      <c r="L464"/>
      <c r="M464"/>
      <c r="N464" s="765"/>
      <c r="O464"/>
      <c r="P464"/>
      <c r="Q464" s="765"/>
      <c r="R464" s="765"/>
      <c r="S464" s="765"/>
    </row>
    <row r="465" spans="1:19" x14ac:dyDescent="0.2">
      <c r="A465" s="13"/>
      <c r="B465" s="13"/>
      <c r="C465" s="13"/>
      <c r="D465" s="13"/>
      <c r="E465"/>
      <c r="F465"/>
      <c r="G465"/>
      <c r="H465"/>
      <c r="I465"/>
      <c r="J465"/>
      <c r="K465"/>
      <c r="L465"/>
      <c r="M465"/>
      <c r="N465" s="765"/>
      <c r="O465"/>
      <c r="P465"/>
      <c r="Q465" s="765"/>
      <c r="R465" s="765"/>
      <c r="S465" s="765"/>
    </row>
    <row r="466" spans="1:19" x14ac:dyDescent="0.2">
      <c r="A466" s="13"/>
      <c r="B466" s="13"/>
      <c r="C466" s="13"/>
      <c r="D466" s="13"/>
      <c r="E466"/>
      <c r="F466"/>
      <c r="G466"/>
      <c r="H466"/>
      <c r="I466"/>
      <c r="J466"/>
      <c r="K466"/>
      <c r="L466"/>
      <c r="M466"/>
      <c r="N466" s="765"/>
      <c r="O466"/>
      <c r="P466"/>
      <c r="Q466" s="765"/>
      <c r="R466" s="765"/>
      <c r="S466" s="765"/>
    </row>
    <row r="467" spans="1:19" x14ac:dyDescent="0.2">
      <c r="A467" s="13"/>
      <c r="B467" s="13"/>
      <c r="C467" s="13"/>
      <c r="D467" s="13"/>
      <c r="E467"/>
      <c r="F467"/>
      <c r="G467"/>
      <c r="H467"/>
      <c r="I467"/>
      <c r="J467"/>
      <c r="K467"/>
      <c r="L467"/>
      <c r="M467"/>
      <c r="N467" s="765"/>
      <c r="O467"/>
      <c r="P467"/>
      <c r="Q467" s="765"/>
      <c r="R467" s="765"/>
      <c r="S467" s="765"/>
    </row>
    <row r="468" spans="1:19" x14ac:dyDescent="0.2">
      <c r="A468" s="13"/>
      <c r="B468" s="13"/>
      <c r="C468" s="13"/>
      <c r="D468" s="13"/>
      <c r="E468"/>
      <c r="F468"/>
      <c r="G468"/>
      <c r="H468"/>
      <c r="I468"/>
      <c r="J468"/>
      <c r="K468"/>
      <c r="L468"/>
      <c r="M468"/>
      <c r="N468" s="765"/>
      <c r="O468"/>
      <c r="P468"/>
      <c r="Q468" s="765"/>
      <c r="R468" s="765"/>
      <c r="S468" s="765"/>
    </row>
    <row r="469" spans="1:19" x14ac:dyDescent="0.2">
      <c r="A469" s="13"/>
      <c r="B469" s="13"/>
      <c r="C469" s="13"/>
      <c r="D469" s="13"/>
      <c r="E469"/>
      <c r="F469"/>
      <c r="G469"/>
      <c r="H469"/>
      <c r="I469"/>
      <c r="J469"/>
      <c r="K469"/>
      <c r="L469"/>
      <c r="M469"/>
      <c r="N469" s="765"/>
      <c r="O469"/>
      <c r="P469"/>
      <c r="Q469" s="765"/>
      <c r="R469" s="765"/>
      <c r="S469" s="765"/>
    </row>
    <row r="470" spans="1:19" x14ac:dyDescent="0.2">
      <c r="A470" s="13"/>
      <c r="B470" s="13"/>
      <c r="C470" s="13"/>
      <c r="D470" s="13"/>
      <c r="E470"/>
      <c r="F470"/>
      <c r="G470"/>
      <c r="H470"/>
      <c r="I470"/>
      <c r="J470"/>
      <c r="K470"/>
      <c r="L470"/>
      <c r="M470"/>
      <c r="N470" s="765"/>
      <c r="O470"/>
      <c r="P470"/>
      <c r="Q470" s="765"/>
      <c r="R470" s="765"/>
      <c r="S470" s="765"/>
    </row>
    <row r="471" spans="1:19" x14ac:dyDescent="0.2">
      <c r="A471" s="13"/>
      <c r="B471" s="13"/>
      <c r="C471" s="13"/>
      <c r="D471" s="13"/>
      <c r="E471"/>
      <c r="F471"/>
      <c r="G471"/>
      <c r="H471"/>
      <c r="I471"/>
      <c r="J471"/>
      <c r="K471"/>
      <c r="L471"/>
      <c r="M471"/>
      <c r="N471" s="765"/>
      <c r="O471"/>
      <c r="P471"/>
      <c r="Q471" s="765"/>
      <c r="R471" s="765"/>
      <c r="S471" s="765"/>
    </row>
    <row r="472" spans="1:19" x14ac:dyDescent="0.2">
      <c r="A472" s="13"/>
      <c r="B472" s="13"/>
      <c r="C472" s="13"/>
      <c r="D472" s="13"/>
      <c r="E472"/>
      <c r="F472"/>
      <c r="G472"/>
      <c r="H472"/>
      <c r="I472"/>
      <c r="J472"/>
      <c r="K472"/>
      <c r="L472"/>
      <c r="M472"/>
      <c r="N472" s="765"/>
      <c r="O472"/>
      <c r="P472"/>
      <c r="Q472" s="765"/>
      <c r="R472" s="765"/>
      <c r="S472" s="765"/>
    </row>
    <row r="473" spans="1:19" x14ac:dyDescent="0.2">
      <c r="A473" s="13"/>
      <c r="B473" s="13"/>
      <c r="C473" s="13"/>
      <c r="D473" s="13"/>
      <c r="E473"/>
      <c r="F473"/>
      <c r="G473"/>
      <c r="H473"/>
      <c r="I473"/>
      <c r="J473"/>
      <c r="K473"/>
      <c r="L473"/>
      <c r="M473"/>
      <c r="N473" s="765"/>
      <c r="O473"/>
      <c r="P473"/>
      <c r="Q473" s="765"/>
      <c r="R473" s="765"/>
      <c r="S473" s="765"/>
    </row>
    <row r="474" spans="1:19" x14ac:dyDescent="0.2">
      <c r="A474" s="13"/>
      <c r="B474" s="13"/>
      <c r="C474" s="13"/>
      <c r="D474" s="13"/>
      <c r="E474"/>
      <c r="F474"/>
      <c r="G474"/>
      <c r="H474"/>
      <c r="I474"/>
      <c r="J474"/>
      <c r="K474"/>
      <c r="L474"/>
      <c r="M474"/>
      <c r="N474" s="765"/>
      <c r="O474"/>
      <c r="P474"/>
      <c r="Q474" s="765"/>
      <c r="R474" s="765"/>
      <c r="S474" s="765"/>
    </row>
    <row r="475" spans="1:19" x14ac:dyDescent="0.2">
      <c r="A475" s="13"/>
      <c r="B475" s="13"/>
      <c r="C475" s="13"/>
      <c r="D475" s="13"/>
      <c r="E475"/>
      <c r="F475"/>
      <c r="G475"/>
      <c r="H475"/>
      <c r="I475"/>
      <c r="J475"/>
      <c r="K475"/>
      <c r="L475"/>
      <c r="M475"/>
      <c r="N475" s="765"/>
      <c r="O475"/>
      <c r="P475"/>
      <c r="Q475" s="765"/>
      <c r="R475" s="765"/>
      <c r="S475" s="765"/>
    </row>
    <row r="476" spans="1:19" x14ac:dyDescent="0.2">
      <c r="A476" s="13"/>
      <c r="B476" s="13"/>
      <c r="C476" s="13"/>
      <c r="D476" s="13"/>
      <c r="E476"/>
      <c r="F476"/>
      <c r="G476"/>
      <c r="H476"/>
      <c r="I476"/>
      <c r="J476"/>
      <c r="K476"/>
      <c r="L476"/>
      <c r="M476"/>
      <c r="N476" s="765"/>
      <c r="O476"/>
      <c r="P476"/>
      <c r="Q476" s="765"/>
      <c r="R476" s="765"/>
      <c r="S476" s="765"/>
    </row>
    <row r="477" spans="1:19" x14ac:dyDescent="0.2">
      <c r="A477" s="13"/>
      <c r="B477" s="13"/>
      <c r="C477" s="13"/>
      <c r="D477" s="13"/>
      <c r="E477"/>
      <c r="F477"/>
      <c r="G477"/>
      <c r="H477"/>
      <c r="I477"/>
      <c r="J477"/>
      <c r="K477"/>
      <c r="L477"/>
      <c r="M477"/>
      <c r="N477" s="765"/>
      <c r="O477"/>
      <c r="P477"/>
      <c r="Q477" s="765"/>
      <c r="R477" s="765"/>
      <c r="S477" s="765"/>
    </row>
    <row r="478" spans="1:19" x14ac:dyDescent="0.2">
      <c r="A478" s="13"/>
      <c r="B478" s="13"/>
      <c r="C478" s="13"/>
      <c r="D478" s="13"/>
      <c r="E478"/>
      <c r="F478"/>
      <c r="G478"/>
      <c r="H478"/>
      <c r="I478"/>
      <c r="J478"/>
      <c r="K478"/>
      <c r="L478"/>
      <c r="M478"/>
      <c r="N478" s="765"/>
      <c r="O478"/>
      <c r="P478"/>
      <c r="Q478" s="765"/>
      <c r="R478" s="765"/>
      <c r="S478" s="765"/>
    </row>
    <row r="479" spans="1:19" x14ac:dyDescent="0.2">
      <c r="A479" s="13"/>
      <c r="B479" s="13"/>
      <c r="C479" s="13"/>
      <c r="D479" s="13"/>
      <c r="E479"/>
      <c r="F479"/>
      <c r="G479"/>
      <c r="H479"/>
      <c r="I479"/>
      <c r="J479"/>
      <c r="K479"/>
      <c r="L479"/>
      <c r="M479"/>
      <c r="N479" s="765"/>
      <c r="O479"/>
      <c r="P479"/>
      <c r="Q479" s="765"/>
      <c r="R479" s="765"/>
      <c r="S479" s="765"/>
    </row>
    <row r="480" spans="1:19" x14ac:dyDescent="0.2">
      <c r="A480" s="13"/>
      <c r="B480" s="13"/>
      <c r="C480" s="13"/>
      <c r="D480" s="13"/>
      <c r="E480"/>
      <c r="F480"/>
      <c r="G480"/>
      <c r="H480"/>
      <c r="I480"/>
      <c r="J480"/>
      <c r="K480"/>
      <c r="L480"/>
      <c r="M480"/>
      <c r="N480" s="765"/>
      <c r="O480"/>
      <c r="P480"/>
      <c r="Q480" s="765"/>
      <c r="R480" s="765"/>
      <c r="S480" s="765"/>
    </row>
    <row r="481" spans="1:19" x14ac:dyDescent="0.2">
      <c r="A481" s="13"/>
      <c r="B481" s="13"/>
      <c r="C481" s="13"/>
      <c r="D481" s="13"/>
      <c r="E481"/>
      <c r="F481"/>
      <c r="G481"/>
      <c r="H481"/>
      <c r="I481"/>
      <c r="J481"/>
      <c r="K481"/>
      <c r="L481"/>
      <c r="M481"/>
      <c r="N481" s="765"/>
      <c r="O481"/>
      <c r="P481"/>
      <c r="Q481" s="765"/>
      <c r="R481" s="765"/>
      <c r="S481" s="765"/>
    </row>
    <row r="482" spans="1:19" x14ac:dyDescent="0.2">
      <c r="A482" s="13"/>
      <c r="B482" s="13"/>
      <c r="C482" s="13"/>
      <c r="D482" s="13"/>
      <c r="E482"/>
      <c r="F482"/>
      <c r="G482"/>
      <c r="H482"/>
      <c r="I482"/>
      <c r="J482"/>
      <c r="K482"/>
      <c r="L482"/>
      <c r="M482"/>
      <c r="N482" s="765"/>
      <c r="O482"/>
      <c r="P482"/>
      <c r="Q482" s="765"/>
      <c r="R482" s="765"/>
      <c r="S482" s="765"/>
    </row>
    <row r="483" spans="1:19" x14ac:dyDescent="0.2">
      <c r="A483" s="13"/>
      <c r="B483" s="13"/>
      <c r="C483" s="13"/>
      <c r="D483" s="13"/>
      <c r="E483"/>
      <c r="F483"/>
      <c r="G483"/>
      <c r="H483"/>
      <c r="I483"/>
      <c r="J483"/>
      <c r="K483"/>
      <c r="L483"/>
      <c r="M483"/>
      <c r="N483" s="765"/>
      <c r="O483"/>
      <c r="P483"/>
      <c r="Q483" s="765"/>
      <c r="R483" s="765"/>
      <c r="S483" s="765"/>
    </row>
    <row r="484" spans="1:19" x14ac:dyDescent="0.2">
      <c r="A484" s="13"/>
      <c r="B484" s="13"/>
      <c r="C484" s="13"/>
      <c r="D484" s="13"/>
      <c r="E484"/>
      <c r="F484"/>
      <c r="G484"/>
      <c r="H484"/>
      <c r="I484"/>
      <c r="J484"/>
      <c r="K484"/>
      <c r="L484"/>
      <c r="M484"/>
      <c r="N484" s="765"/>
      <c r="O484"/>
      <c r="P484"/>
      <c r="Q484" s="765"/>
      <c r="R484" s="765"/>
      <c r="S484" s="765"/>
    </row>
    <row r="485" spans="1:19" x14ac:dyDescent="0.2">
      <c r="A485" s="13"/>
      <c r="B485" s="13"/>
      <c r="C485" s="13"/>
      <c r="D485" s="13"/>
      <c r="E485"/>
      <c r="F485"/>
      <c r="G485"/>
      <c r="H485"/>
      <c r="I485"/>
      <c r="J485"/>
      <c r="K485"/>
      <c r="L485"/>
      <c r="M485"/>
      <c r="N485" s="765"/>
      <c r="O485"/>
      <c r="P485"/>
      <c r="Q485" s="765"/>
      <c r="R485" s="765"/>
      <c r="S485" s="765"/>
    </row>
    <row r="486" spans="1:19" x14ac:dyDescent="0.2">
      <c r="A486" s="13"/>
      <c r="B486" s="13"/>
      <c r="C486" s="13"/>
      <c r="D486" s="13"/>
      <c r="E486"/>
      <c r="F486"/>
      <c r="G486"/>
      <c r="H486"/>
      <c r="I486"/>
      <c r="J486"/>
      <c r="K486"/>
      <c r="L486"/>
      <c r="M486"/>
      <c r="N486" s="765"/>
      <c r="O486"/>
      <c r="P486"/>
      <c r="Q486" s="765"/>
      <c r="R486" s="765"/>
      <c r="S486" s="765"/>
    </row>
    <row r="487" spans="1:19" x14ac:dyDescent="0.2">
      <c r="A487" s="13"/>
      <c r="B487" s="13"/>
      <c r="C487" s="13"/>
      <c r="D487" s="13"/>
      <c r="E487"/>
      <c r="F487"/>
      <c r="G487"/>
      <c r="H487"/>
      <c r="I487"/>
      <c r="J487"/>
      <c r="K487"/>
      <c r="L487"/>
      <c r="M487"/>
      <c r="N487" s="765"/>
      <c r="O487"/>
      <c r="P487"/>
      <c r="Q487" s="765"/>
      <c r="R487" s="765"/>
      <c r="S487" s="765"/>
    </row>
    <row r="488" spans="1:19" x14ac:dyDescent="0.2">
      <c r="A488" s="13"/>
      <c r="B488" s="13"/>
      <c r="C488" s="13"/>
      <c r="D488" s="13"/>
      <c r="E488"/>
      <c r="F488"/>
      <c r="G488"/>
      <c r="H488"/>
      <c r="I488"/>
      <c r="J488"/>
      <c r="K488"/>
      <c r="L488"/>
      <c r="M488"/>
      <c r="N488" s="765"/>
      <c r="O488"/>
      <c r="P488"/>
      <c r="Q488" s="765"/>
      <c r="R488" s="765"/>
      <c r="S488" s="765"/>
    </row>
    <row r="489" spans="1:19" x14ac:dyDescent="0.2">
      <c r="A489" s="13"/>
      <c r="B489" s="13"/>
      <c r="C489" s="13"/>
      <c r="D489" s="13"/>
      <c r="E489"/>
      <c r="F489"/>
      <c r="G489"/>
      <c r="H489"/>
      <c r="I489"/>
      <c r="J489"/>
      <c r="K489"/>
      <c r="L489"/>
      <c r="M489"/>
      <c r="N489" s="765"/>
      <c r="O489"/>
      <c r="P489"/>
      <c r="Q489" s="765"/>
      <c r="R489" s="765"/>
      <c r="S489" s="765"/>
    </row>
    <row r="490" spans="1:19" x14ac:dyDescent="0.2">
      <c r="A490" s="13"/>
      <c r="B490" s="13"/>
      <c r="C490" s="13"/>
      <c r="D490" s="13"/>
      <c r="E490"/>
      <c r="F490"/>
      <c r="G490"/>
      <c r="H490"/>
      <c r="I490"/>
      <c r="J490"/>
      <c r="K490"/>
      <c r="L490"/>
      <c r="M490"/>
      <c r="N490" s="765"/>
      <c r="O490"/>
      <c r="P490"/>
      <c r="Q490" s="765"/>
      <c r="R490" s="765"/>
      <c r="S490" s="765"/>
    </row>
    <row r="491" spans="1:19" x14ac:dyDescent="0.2">
      <c r="A491" s="13"/>
      <c r="B491" s="13"/>
      <c r="C491" s="13"/>
      <c r="D491" s="13"/>
      <c r="E491"/>
      <c r="F491"/>
      <c r="G491"/>
      <c r="H491"/>
      <c r="I491"/>
      <c r="J491"/>
      <c r="K491"/>
      <c r="L491"/>
      <c r="M491"/>
      <c r="N491" s="765"/>
      <c r="O491"/>
      <c r="P491"/>
      <c r="Q491" s="765"/>
      <c r="R491" s="765"/>
      <c r="S491" s="765"/>
    </row>
    <row r="492" spans="1:19" x14ac:dyDescent="0.2">
      <c r="A492" s="13"/>
      <c r="B492" s="13"/>
      <c r="C492" s="13"/>
      <c r="D492" s="13"/>
      <c r="E492"/>
      <c r="F492"/>
      <c r="G492"/>
      <c r="H492"/>
      <c r="I492"/>
      <c r="J492"/>
      <c r="K492"/>
      <c r="L492"/>
      <c r="M492"/>
      <c r="N492" s="765"/>
      <c r="O492"/>
      <c r="P492"/>
      <c r="Q492" s="765"/>
      <c r="R492" s="765"/>
      <c r="S492" s="765"/>
    </row>
    <row r="493" spans="1:19" x14ac:dyDescent="0.2">
      <c r="A493" s="13"/>
      <c r="B493" s="13"/>
      <c r="C493" s="13"/>
      <c r="D493" s="13"/>
      <c r="E493"/>
      <c r="F493"/>
      <c r="G493"/>
      <c r="H493"/>
      <c r="I493"/>
      <c r="J493"/>
      <c r="K493"/>
      <c r="L493"/>
      <c r="M493"/>
      <c r="N493" s="765"/>
      <c r="O493"/>
      <c r="P493"/>
      <c r="Q493" s="765"/>
      <c r="R493" s="765"/>
      <c r="S493" s="765"/>
    </row>
    <row r="494" spans="1:19" x14ac:dyDescent="0.2">
      <c r="A494" s="13"/>
      <c r="B494" s="13"/>
      <c r="C494" s="13"/>
      <c r="D494" s="13"/>
      <c r="E494"/>
      <c r="F494"/>
      <c r="G494"/>
      <c r="H494"/>
      <c r="I494"/>
      <c r="J494"/>
      <c r="K494"/>
      <c r="L494"/>
      <c r="M494"/>
      <c r="N494" s="765"/>
      <c r="O494"/>
      <c r="P494"/>
      <c r="Q494" s="765"/>
      <c r="R494" s="765"/>
      <c r="S494" s="765"/>
    </row>
    <row r="495" spans="1:19" x14ac:dyDescent="0.2">
      <c r="A495" s="13"/>
      <c r="B495" s="13"/>
      <c r="C495" s="13"/>
      <c r="D495" s="13"/>
      <c r="E495"/>
      <c r="F495"/>
      <c r="G495"/>
      <c r="H495"/>
      <c r="I495"/>
      <c r="J495"/>
      <c r="K495"/>
      <c r="L495"/>
      <c r="M495"/>
      <c r="N495" s="765"/>
      <c r="O495"/>
      <c r="P495"/>
      <c r="Q495" s="765"/>
      <c r="R495" s="765"/>
      <c r="S495" s="765"/>
    </row>
    <row r="496" spans="1:19" x14ac:dyDescent="0.2">
      <c r="A496" s="13"/>
      <c r="B496" s="13"/>
      <c r="C496" s="13"/>
      <c r="D496" s="13"/>
      <c r="E496"/>
      <c r="F496"/>
      <c r="G496"/>
      <c r="H496"/>
      <c r="I496"/>
      <c r="J496"/>
      <c r="K496"/>
      <c r="L496"/>
      <c r="M496"/>
      <c r="N496" s="765"/>
      <c r="O496"/>
      <c r="P496"/>
      <c r="Q496" s="765"/>
      <c r="R496" s="765"/>
      <c r="S496" s="765"/>
    </row>
    <row r="497" spans="1:19" x14ac:dyDescent="0.2">
      <c r="A497" s="13"/>
      <c r="B497" s="13"/>
      <c r="C497" s="13"/>
      <c r="D497" s="13"/>
      <c r="E497"/>
      <c r="F497"/>
      <c r="G497"/>
      <c r="H497"/>
      <c r="I497"/>
      <c r="J497"/>
      <c r="K497"/>
      <c r="L497"/>
      <c r="M497"/>
      <c r="N497" s="765"/>
      <c r="O497"/>
      <c r="P497"/>
      <c r="Q497" s="765"/>
      <c r="R497" s="765"/>
      <c r="S497" s="765"/>
    </row>
    <row r="498" spans="1:19" x14ac:dyDescent="0.2">
      <c r="A498" s="13"/>
      <c r="B498" s="13"/>
      <c r="C498" s="13"/>
      <c r="D498" s="13"/>
      <c r="E498"/>
      <c r="F498"/>
      <c r="G498"/>
      <c r="H498"/>
      <c r="I498"/>
      <c r="J498"/>
      <c r="K498"/>
      <c r="L498"/>
      <c r="M498"/>
      <c r="N498" s="765"/>
      <c r="O498"/>
      <c r="P498"/>
      <c r="Q498" s="765"/>
      <c r="R498" s="765"/>
      <c r="S498" s="765"/>
    </row>
    <row r="499" spans="1:19" x14ac:dyDescent="0.2">
      <c r="A499" s="13"/>
      <c r="B499" s="13"/>
      <c r="C499" s="13"/>
      <c r="D499" s="13"/>
      <c r="E499"/>
      <c r="F499"/>
      <c r="G499"/>
      <c r="H499"/>
      <c r="I499"/>
      <c r="J499"/>
      <c r="K499"/>
      <c r="L499"/>
      <c r="M499"/>
      <c r="N499" s="765"/>
      <c r="O499"/>
      <c r="P499"/>
      <c r="Q499" s="765"/>
      <c r="R499" s="765"/>
      <c r="S499" s="765"/>
    </row>
    <row r="500" spans="1:19" x14ac:dyDescent="0.2">
      <c r="A500" s="13"/>
      <c r="B500" s="13"/>
      <c r="C500" s="13"/>
      <c r="D500" s="13"/>
      <c r="E500"/>
      <c r="F500"/>
      <c r="G500"/>
      <c r="H500"/>
      <c r="I500"/>
      <c r="J500"/>
      <c r="K500"/>
      <c r="L500"/>
      <c r="M500"/>
      <c r="N500" s="765"/>
      <c r="O500"/>
      <c r="P500"/>
      <c r="Q500" s="765"/>
      <c r="R500" s="765"/>
      <c r="S500" s="765"/>
    </row>
    <row r="501" spans="1:19" x14ac:dyDescent="0.2">
      <c r="A501" s="13"/>
      <c r="B501" s="13"/>
      <c r="C501" s="13"/>
      <c r="D501" s="13"/>
      <c r="E501"/>
      <c r="F501"/>
      <c r="G501"/>
      <c r="H501"/>
      <c r="I501"/>
      <c r="J501"/>
      <c r="K501"/>
      <c r="L501"/>
      <c r="M501"/>
      <c r="N501" s="765"/>
      <c r="O501"/>
      <c r="P501"/>
      <c r="Q501" s="765"/>
      <c r="R501" s="765"/>
      <c r="S501" s="765"/>
    </row>
    <row r="502" spans="1:19" x14ac:dyDescent="0.2">
      <c r="A502" s="13"/>
      <c r="B502" s="13"/>
      <c r="C502" s="13"/>
      <c r="D502" s="13"/>
      <c r="E502"/>
      <c r="F502"/>
      <c r="G502"/>
      <c r="H502"/>
      <c r="I502"/>
      <c r="J502"/>
      <c r="K502"/>
      <c r="L502"/>
      <c r="M502"/>
      <c r="N502" s="765"/>
      <c r="O502"/>
      <c r="P502"/>
      <c r="Q502" s="765"/>
      <c r="R502" s="765"/>
      <c r="S502" s="765"/>
    </row>
    <row r="503" spans="1:19" x14ac:dyDescent="0.2">
      <c r="A503" s="13"/>
      <c r="B503" s="13"/>
      <c r="C503" s="13"/>
      <c r="D503" s="13"/>
      <c r="E503"/>
      <c r="F503"/>
      <c r="G503"/>
      <c r="H503"/>
      <c r="I503"/>
      <c r="J503"/>
      <c r="K503"/>
      <c r="L503"/>
      <c r="M503"/>
      <c r="N503" s="765"/>
      <c r="O503"/>
      <c r="P503"/>
      <c r="Q503" s="765"/>
      <c r="R503" s="765"/>
      <c r="S503" s="765"/>
    </row>
    <row r="504" spans="1:19" x14ac:dyDescent="0.2">
      <c r="A504" s="13"/>
      <c r="B504" s="13"/>
      <c r="C504" s="13"/>
      <c r="D504" s="13"/>
      <c r="E504"/>
      <c r="F504"/>
      <c r="G504"/>
      <c r="H504"/>
      <c r="I504"/>
      <c r="J504"/>
      <c r="K504"/>
      <c r="L504"/>
      <c r="M504"/>
      <c r="N504" s="765"/>
      <c r="O504"/>
      <c r="P504"/>
      <c r="Q504" s="765"/>
      <c r="R504" s="765"/>
      <c r="S504" s="765"/>
    </row>
    <row r="505" spans="1:19" x14ac:dyDescent="0.2">
      <c r="A505" s="13"/>
      <c r="B505" s="13"/>
      <c r="C505" s="13"/>
      <c r="D505" s="13"/>
      <c r="E505"/>
      <c r="F505"/>
      <c r="G505"/>
      <c r="H505"/>
      <c r="I505"/>
      <c r="J505"/>
      <c r="K505"/>
      <c r="L505"/>
      <c r="M505"/>
      <c r="N505" s="765"/>
      <c r="O505"/>
      <c r="P505"/>
      <c r="Q505" s="765"/>
      <c r="R505" s="765"/>
      <c r="S505" s="765"/>
    </row>
    <row r="506" spans="1:19" x14ac:dyDescent="0.2">
      <c r="A506" s="13"/>
      <c r="B506" s="13"/>
      <c r="C506" s="13"/>
      <c r="D506" s="13"/>
      <c r="E506"/>
      <c r="F506"/>
      <c r="G506"/>
      <c r="H506"/>
      <c r="I506"/>
      <c r="J506"/>
      <c r="K506"/>
      <c r="L506"/>
      <c r="M506"/>
      <c r="N506" s="765"/>
      <c r="O506"/>
      <c r="P506"/>
      <c r="Q506" s="765"/>
      <c r="R506" s="765"/>
      <c r="S506" s="765"/>
    </row>
    <row r="507" spans="1:19" x14ac:dyDescent="0.2">
      <c r="A507" s="13"/>
      <c r="B507" s="13"/>
      <c r="C507" s="13"/>
      <c r="D507" s="13"/>
      <c r="E507"/>
      <c r="F507"/>
      <c r="G507"/>
      <c r="H507"/>
      <c r="I507"/>
      <c r="J507"/>
      <c r="K507"/>
      <c r="L507"/>
      <c r="M507"/>
      <c r="N507" s="765"/>
      <c r="O507"/>
      <c r="P507"/>
      <c r="Q507" s="765"/>
      <c r="R507" s="765"/>
      <c r="S507" s="765"/>
    </row>
    <row r="508" spans="1:19" x14ac:dyDescent="0.2">
      <c r="A508" s="13"/>
      <c r="B508" s="13"/>
      <c r="C508" s="13"/>
      <c r="D508" s="13"/>
      <c r="E508"/>
      <c r="F508"/>
      <c r="G508"/>
      <c r="H508"/>
      <c r="I508"/>
      <c r="J508"/>
      <c r="K508"/>
      <c r="L508"/>
      <c r="M508"/>
      <c r="N508" s="765"/>
      <c r="O508"/>
      <c r="P508"/>
      <c r="Q508" s="765"/>
      <c r="R508" s="765"/>
      <c r="S508" s="765"/>
    </row>
    <row r="509" spans="1:19" x14ac:dyDescent="0.2">
      <c r="A509" s="13"/>
      <c r="B509" s="13"/>
      <c r="C509" s="13"/>
      <c r="D509" s="13"/>
      <c r="E509"/>
      <c r="F509"/>
      <c r="G509"/>
      <c r="H509"/>
      <c r="I509"/>
      <c r="J509"/>
      <c r="K509"/>
      <c r="L509"/>
      <c r="M509"/>
      <c r="N509" s="765"/>
      <c r="O509"/>
      <c r="P509"/>
      <c r="Q509" s="765"/>
      <c r="R509" s="765"/>
      <c r="S509" s="765"/>
    </row>
    <row r="510" spans="1:19" x14ac:dyDescent="0.2">
      <c r="A510" s="13"/>
      <c r="B510" s="13"/>
      <c r="C510" s="13"/>
      <c r="D510" s="13"/>
      <c r="E510"/>
      <c r="F510"/>
      <c r="G510"/>
      <c r="H510"/>
      <c r="I510"/>
      <c r="J510"/>
      <c r="K510"/>
      <c r="L510"/>
      <c r="M510"/>
      <c r="N510" s="765"/>
      <c r="O510"/>
      <c r="P510"/>
      <c r="Q510" s="765"/>
      <c r="R510" s="765"/>
      <c r="S510" s="765"/>
    </row>
    <row r="511" spans="1:19" x14ac:dyDescent="0.2">
      <c r="A511" s="13"/>
      <c r="B511" s="13"/>
      <c r="C511" s="13"/>
      <c r="D511" s="13"/>
      <c r="E511"/>
      <c r="F511"/>
      <c r="G511"/>
      <c r="H511"/>
      <c r="I511"/>
      <c r="J511"/>
      <c r="K511"/>
      <c r="L511"/>
      <c r="M511"/>
      <c r="N511" s="765"/>
      <c r="O511"/>
      <c r="P511"/>
      <c r="Q511" s="765"/>
      <c r="R511" s="765"/>
      <c r="S511" s="765"/>
    </row>
    <row r="512" spans="1:19" x14ac:dyDescent="0.2">
      <c r="A512" s="13"/>
      <c r="B512" s="13"/>
      <c r="C512" s="13"/>
      <c r="D512" s="13"/>
      <c r="E512"/>
      <c r="F512"/>
      <c r="G512"/>
      <c r="H512"/>
      <c r="I512"/>
      <c r="J512"/>
      <c r="K512"/>
      <c r="L512"/>
      <c r="M512"/>
      <c r="N512" s="765"/>
      <c r="O512"/>
      <c r="P512"/>
      <c r="Q512" s="765"/>
      <c r="R512" s="765"/>
      <c r="S512" s="765"/>
    </row>
    <row r="513" spans="1:19" x14ac:dyDescent="0.2">
      <c r="A513" s="13"/>
      <c r="B513" s="13"/>
      <c r="C513" s="13"/>
      <c r="D513" s="13"/>
      <c r="E513"/>
      <c r="F513"/>
      <c r="G513"/>
      <c r="H513"/>
      <c r="I513"/>
      <c r="J513"/>
      <c r="K513"/>
      <c r="L513"/>
      <c r="M513"/>
      <c r="N513" s="765"/>
      <c r="O513"/>
      <c r="P513"/>
      <c r="Q513" s="765"/>
      <c r="R513" s="765"/>
      <c r="S513" s="765"/>
    </row>
    <row r="514" spans="1:19" x14ac:dyDescent="0.2">
      <c r="A514" s="13"/>
      <c r="B514" s="13"/>
      <c r="C514" s="13"/>
      <c r="D514" s="13"/>
      <c r="E514"/>
      <c r="F514"/>
      <c r="G514"/>
      <c r="H514"/>
      <c r="I514"/>
      <c r="J514"/>
      <c r="K514"/>
      <c r="L514"/>
      <c r="M514"/>
      <c r="N514" s="765"/>
      <c r="O514"/>
      <c r="P514"/>
      <c r="Q514" s="765"/>
      <c r="R514" s="765"/>
      <c r="S514" s="765"/>
    </row>
    <row r="515" spans="1:19" x14ac:dyDescent="0.2">
      <c r="A515" s="13"/>
      <c r="B515" s="13"/>
      <c r="C515" s="13"/>
      <c r="D515" s="13"/>
      <c r="E515"/>
      <c r="F515"/>
      <c r="G515"/>
      <c r="H515"/>
      <c r="I515"/>
      <c r="J515"/>
      <c r="K515"/>
      <c r="L515"/>
      <c r="M515"/>
      <c r="N515" s="765"/>
      <c r="O515"/>
      <c r="P515"/>
      <c r="Q515" s="765"/>
      <c r="R515" s="765"/>
      <c r="S515" s="765"/>
    </row>
    <row r="516" spans="1:19" x14ac:dyDescent="0.2">
      <c r="A516" s="13"/>
      <c r="B516" s="13"/>
      <c r="C516" s="13"/>
      <c r="D516" s="13"/>
      <c r="E516"/>
      <c r="F516"/>
      <c r="G516"/>
      <c r="H516"/>
      <c r="I516"/>
      <c r="J516"/>
      <c r="K516"/>
      <c r="L516"/>
      <c r="M516"/>
      <c r="N516" s="765"/>
      <c r="O516"/>
      <c r="P516"/>
      <c r="Q516" s="765"/>
      <c r="R516" s="765"/>
      <c r="S516" s="765"/>
    </row>
    <row r="517" spans="1:19" x14ac:dyDescent="0.2">
      <c r="A517" s="13"/>
      <c r="B517" s="13"/>
      <c r="C517" s="13"/>
      <c r="D517" s="13"/>
      <c r="E517"/>
      <c r="F517"/>
      <c r="G517"/>
      <c r="H517"/>
      <c r="I517"/>
      <c r="J517"/>
      <c r="K517"/>
      <c r="L517"/>
      <c r="M517"/>
      <c r="N517" s="765"/>
      <c r="O517"/>
      <c r="P517"/>
      <c r="Q517" s="765"/>
      <c r="R517" s="765"/>
      <c r="S517" s="765"/>
    </row>
    <row r="518" spans="1:19" x14ac:dyDescent="0.2">
      <c r="A518" s="13"/>
      <c r="B518" s="13"/>
      <c r="C518" s="13"/>
      <c r="D518" s="13"/>
      <c r="E518"/>
      <c r="F518"/>
      <c r="G518"/>
      <c r="H518"/>
      <c r="I518"/>
      <c r="J518"/>
      <c r="K518"/>
      <c r="L518"/>
      <c r="M518"/>
      <c r="N518" s="765"/>
      <c r="O518"/>
      <c r="P518"/>
      <c r="Q518" s="765"/>
      <c r="R518" s="765"/>
      <c r="S518" s="765"/>
    </row>
    <row r="519" spans="1:19" x14ac:dyDescent="0.2">
      <c r="A519" s="13"/>
      <c r="B519" s="13"/>
      <c r="C519" s="13"/>
      <c r="D519" s="13"/>
      <c r="E519"/>
      <c r="F519"/>
      <c r="G519"/>
      <c r="H519"/>
      <c r="I519"/>
      <c r="J519"/>
      <c r="K519"/>
      <c r="L519"/>
      <c r="M519"/>
      <c r="N519" s="765"/>
      <c r="O519"/>
      <c r="P519"/>
      <c r="Q519" s="765"/>
      <c r="R519" s="765"/>
      <c r="S519" s="765"/>
    </row>
    <row r="520" spans="1:19" x14ac:dyDescent="0.2">
      <c r="A520" s="13"/>
      <c r="B520" s="13"/>
      <c r="C520" s="13"/>
      <c r="D520" s="13"/>
      <c r="E520"/>
      <c r="F520"/>
      <c r="G520"/>
      <c r="H520"/>
      <c r="I520"/>
      <c r="J520"/>
      <c r="K520"/>
      <c r="L520"/>
      <c r="M520"/>
      <c r="N520" s="765"/>
      <c r="O520"/>
      <c r="P520"/>
      <c r="Q520" s="765"/>
      <c r="R520" s="765"/>
      <c r="S520" s="765"/>
    </row>
    <row r="521" spans="1:19" x14ac:dyDescent="0.2">
      <c r="A521" s="13"/>
      <c r="B521" s="13"/>
      <c r="C521" s="13"/>
      <c r="D521" s="13"/>
      <c r="E521"/>
      <c r="F521"/>
      <c r="G521"/>
      <c r="H521"/>
      <c r="I521"/>
      <c r="J521"/>
      <c r="K521"/>
      <c r="L521"/>
      <c r="M521"/>
      <c r="N521" s="765"/>
      <c r="O521"/>
      <c r="P521"/>
      <c r="Q521" s="765"/>
      <c r="R521" s="765"/>
      <c r="S521" s="765"/>
    </row>
    <row r="522" spans="1:19" x14ac:dyDescent="0.2">
      <c r="A522" s="13"/>
      <c r="B522" s="13"/>
      <c r="C522" s="13"/>
      <c r="D522" s="13"/>
      <c r="E522"/>
      <c r="F522"/>
      <c r="G522"/>
      <c r="H522"/>
      <c r="I522"/>
      <c r="J522"/>
      <c r="K522"/>
      <c r="L522"/>
      <c r="M522"/>
      <c r="N522" s="765"/>
      <c r="O522"/>
      <c r="P522"/>
      <c r="Q522" s="765"/>
      <c r="R522" s="765"/>
      <c r="S522" s="765"/>
    </row>
    <row r="523" spans="1:19" x14ac:dyDescent="0.2">
      <c r="A523" s="13"/>
      <c r="B523" s="13"/>
      <c r="C523" s="13"/>
      <c r="D523" s="13"/>
      <c r="E523"/>
      <c r="F523"/>
      <c r="G523"/>
      <c r="H523"/>
      <c r="I523"/>
      <c r="J523"/>
      <c r="K523"/>
      <c r="L523"/>
      <c r="M523"/>
      <c r="N523" s="765"/>
      <c r="O523"/>
      <c r="P523"/>
      <c r="Q523" s="765"/>
      <c r="R523" s="765"/>
      <c r="S523" s="765"/>
    </row>
    <row r="524" spans="1:19" x14ac:dyDescent="0.2">
      <c r="A524" s="13"/>
      <c r="B524" s="13"/>
      <c r="C524" s="13"/>
      <c r="D524" s="13"/>
      <c r="E524"/>
      <c r="F524"/>
      <c r="G524"/>
      <c r="H524"/>
      <c r="I524"/>
      <c r="J524"/>
      <c r="K524"/>
      <c r="L524"/>
      <c r="M524"/>
      <c r="N524" s="765"/>
      <c r="O524"/>
      <c r="P524"/>
      <c r="Q524" s="765"/>
      <c r="R524" s="765"/>
      <c r="S524" s="765"/>
    </row>
    <row r="525" spans="1:19" x14ac:dyDescent="0.2">
      <c r="A525" s="13"/>
      <c r="B525" s="13"/>
      <c r="C525" s="13"/>
      <c r="D525" s="13"/>
      <c r="E525"/>
      <c r="F525"/>
      <c r="G525"/>
      <c r="H525"/>
      <c r="I525"/>
      <c r="J525"/>
      <c r="K525"/>
      <c r="L525"/>
      <c r="M525"/>
      <c r="N525" s="765"/>
      <c r="O525"/>
      <c r="P525"/>
      <c r="Q525" s="765"/>
      <c r="R525" s="765"/>
      <c r="S525" s="765"/>
    </row>
    <row r="526" spans="1:19" x14ac:dyDescent="0.2">
      <c r="A526" s="13"/>
      <c r="B526" s="13"/>
      <c r="C526" s="13"/>
      <c r="D526" s="13"/>
      <c r="E526"/>
      <c r="F526"/>
      <c r="G526"/>
      <c r="H526"/>
      <c r="I526"/>
      <c r="J526"/>
      <c r="K526"/>
      <c r="L526"/>
      <c r="M526"/>
      <c r="N526" s="765"/>
      <c r="O526"/>
      <c r="P526"/>
      <c r="Q526" s="765"/>
      <c r="R526" s="765"/>
      <c r="S526" s="765"/>
    </row>
    <row r="527" spans="1:19" x14ac:dyDescent="0.2">
      <c r="A527" s="13"/>
      <c r="B527" s="13"/>
      <c r="C527" s="13"/>
      <c r="D527" s="13"/>
      <c r="E527"/>
      <c r="F527"/>
      <c r="G527"/>
      <c r="H527"/>
      <c r="I527"/>
      <c r="J527"/>
      <c r="K527"/>
      <c r="L527"/>
      <c r="M527"/>
      <c r="N527" s="765"/>
      <c r="O527"/>
      <c r="P527"/>
      <c r="Q527" s="765"/>
      <c r="R527" s="765"/>
      <c r="S527" s="765"/>
    </row>
    <row r="528" spans="1:19" x14ac:dyDescent="0.2">
      <c r="A528" s="13"/>
      <c r="B528" s="13"/>
      <c r="C528" s="13"/>
      <c r="D528" s="13"/>
      <c r="E528"/>
      <c r="F528"/>
      <c r="G528"/>
      <c r="H528"/>
      <c r="I528"/>
      <c r="J528"/>
      <c r="K528"/>
      <c r="L528"/>
      <c r="M528"/>
      <c r="N528" s="765"/>
      <c r="O528"/>
      <c r="P528"/>
      <c r="Q528" s="765"/>
      <c r="R528" s="765"/>
      <c r="S528" s="765"/>
    </row>
    <row r="529" spans="1:19" x14ac:dyDescent="0.2">
      <c r="A529" s="13"/>
      <c r="B529" s="13"/>
      <c r="C529" s="13"/>
      <c r="D529" s="13"/>
      <c r="E529"/>
      <c r="F529"/>
      <c r="G529"/>
      <c r="H529"/>
      <c r="I529"/>
      <c r="J529"/>
      <c r="K529"/>
      <c r="L529"/>
      <c r="M529"/>
      <c r="N529" s="765"/>
      <c r="O529"/>
      <c r="P529"/>
      <c r="Q529" s="765"/>
      <c r="R529" s="765"/>
      <c r="S529" s="765"/>
    </row>
    <row r="530" spans="1:19" x14ac:dyDescent="0.2">
      <c r="A530" s="13"/>
      <c r="B530" s="13"/>
      <c r="C530" s="13"/>
      <c r="D530" s="13"/>
      <c r="E530"/>
      <c r="F530"/>
      <c r="G530"/>
      <c r="H530"/>
      <c r="I530"/>
      <c r="J530"/>
      <c r="K530"/>
      <c r="L530"/>
      <c r="M530"/>
      <c r="N530" s="765"/>
      <c r="O530"/>
      <c r="P530"/>
      <c r="Q530" s="765"/>
      <c r="R530" s="765"/>
      <c r="S530" s="765"/>
    </row>
    <row r="531" spans="1:19" x14ac:dyDescent="0.2">
      <c r="A531" s="13"/>
      <c r="B531" s="13"/>
      <c r="C531" s="13"/>
      <c r="D531" s="13"/>
      <c r="E531"/>
      <c r="F531"/>
      <c r="G531"/>
      <c r="H531"/>
      <c r="I531"/>
      <c r="J531"/>
      <c r="K531"/>
      <c r="L531"/>
      <c r="M531"/>
      <c r="N531" s="765"/>
      <c r="O531"/>
      <c r="P531"/>
      <c r="Q531" s="765"/>
      <c r="R531" s="765"/>
      <c r="S531" s="765"/>
    </row>
    <row r="532" spans="1:19" x14ac:dyDescent="0.2">
      <c r="A532" s="13"/>
      <c r="B532" s="13"/>
      <c r="C532" s="13"/>
      <c r="D532" s="13"/>
      <c r="E532"/>
      <c r="F532"/>
      <c r="G532"/>
      <c r="H532"/>
      <c r="I532"/>
      <c r="J532"/>
      <c r="K532"/>
      <c r="L532"/>
      <c r="M532"/>
      <c r="N532" s="765"/>
      <c r="O532"/>
      <c r="P532"/>
      <c r="Q532" s="765"/>
      <c r="R532" s="765"/>
      <c r="S532" s="765"/>
    </row>
    <row r="533" spans="1:19" x14ac:dyDescent="0.2">
      <c r="A533" s="13"/>
      <c r="B533" s="13"/>
      <c r="C533" s="13"/>
      <c r="D533" s="13"/>
      <c r="E533"/>
      <c r="F533"/>
      <c r="G533"/>
      <c r="H533"/>
      <c r="I533"/>
      <c r="J533"/>
      <c r="K533"/>
      <c r="L533"/>
      <c r="M533"/>
      <c r="N533" s="765"/>
      <c r="O533"/>
      <c r="P533"/>
      <c r="Q533" s="765"/>
      <c r="R533" s="765"/>
      <c r="S533" s="765"/>
    </row>
    <row r="534" spans="1:19" x14ac:dyDescent="0.2">
      <c r="A534" s="13"/>
      <c r="B534" s="13"/>
      <c r="C534" s="13"/>
      <c r="D534" s="13"/>
      <c r="E534"/>
      <c r="F534"/>
      <c r="G534"/>
      <c r="H534"/>
      <c r="I534"/>
      <c r="J534"/>
      <c r="K534"/>
      <c r="L534"/>
      <c r="M534"/>
      <c r="N534" s="765"/>
      <c r="O534"/>
      <c r="P534"/>
      <c r="Q534" s="765"/>
      <c r="R534" s="765"/>
      <c r="S534" s="765"/>
    </row>
    <row r="535" spans="1:19" x14ac:dyDescent="0.2">
      <c r="A535" s="13"/>
      <c r="B535" s="13"/>
      <c r="C535" s="13"/>
      <c r="D535" s="13"/>
      <c r="E535"/>
      <c r="F535"/>
      <c r="G535"/>
      <c r="H535"/>
      <c r="I535"/>
      <c r="J535"/>
      <c r="K535"/>
      <c r="L535"/>
      <c r="M535"/>
      <c r="N535" s="765"/>
      <c r="O535"/>
      <c r="P535"/>
      <c r="Q535" s="765"/>
      <c r="R535" s="765"/>
      <c r="S535" s="765"/>
    </row>
    <row r="536" spans="1:19" x14ac:dyDescent="0.2">
      <c r="A536" s="13"/>
      <c r="B536" s="13"/>
      <c r="C536" s="13"/>
      <c r="D536" s="13"/>
      <c r="E536"/>
      <c r="F536"/>
      <c r="G536"/>
      <c r="H536"/>
      <c r="I536"/>
      <c r="J536"/>
      <c r="K536"/>
      <c r="L536"/>
      <c r="M536"/>
      <c r="N536" s="765"/>
      <c r="O536"/>
      <c r="P536"/>
      <c r="Q536" s="765"/>
      <c r="R536" s="765"/>
      <c r="S536" s="765"/>
    </row>
    <row r="537" spans="1:19" x14ac:dyDescent="0.2">
      <c r="A537" s="13"/>
      <c r="B537" s="13"/>
      <c r="C537" s="13"/>
      <c r="D537" s="13"/>
      <c r="E537"/>
      <c r="F537"/>
      <c r="G537"/>
      <c r="H537"/>
      <c r="I537"/>
      <c r="J537"/>
      <c r="K537"/>
      <c r="L537"/>
      <c r="M537"/>
      <c r="N537" s="765"/>
      <c r="O537"/>
      <c r="P537"/>
      <c r="Q537" s="765"/>
      <c r="R537" s="765"/>
      <c r="S537" s="765"/>
    </row>
    <row r="538" spans="1:19" x14ac:dyDescent="0.2">
      <c r="A538" s="13"/>
      <c r="B538" s="13"/>
      <c r="C538" s="13"/>
      <c r="D538" s="13"/>
      <c r="E538"/>
      <c r="F538"/>
      <c r="G538"/>
      <c r="H538"/>
      <c r="I538"/>
      <c r="J538"/>
      <c r="K538"/>
      <c r="L538"/>
      <c r="M538"/>
      <c r="N538" s="765"/>
      <c r="O538"/>
      <c r="P538"/>
      <c r="Q538" s="765"/>
      <c r="R538" s="765"/>
      <c r="S538" s="765"/>
    </row>
    <row r="539" spans="1:19" x14ac:dyDescent="0.2">
      <c r="A539" s="13"/>
      <c r="B539" s="13"/>
      <c r="C539" s="13"/>
      <c r="D539" s="13"/>
      <c r="E539"/>
      <c r="F539"/>
      <c r="G539"/>
      <c r="H539"/>
      <c r="I539"/>
      <c r="J539"/>
      <c r="K539"/>
      <c r="L539"/>
      <c r="M539"/>
      <c r="N539" s="765"/>
      <c r="O539"/>
      <c r="P539"/>
      <c r="Q539" s="765"/>
      <c r="R539" s="765"/>
      <c r="S539" s="765"/>
    </row>
    <row r="540" spans="1:19" x14ac:dyDescent="0.2">
      <c r="A540" s="13"/>
      <c r="B540" s="13"/>
      <c r="C540" s="13"/>
      <c r="D540" s="13"/>
      <c r="E540"/>
      <c r="F540"/>
      <c r="G540"/>
      <c r="H540"/>
      <c r="I540"/>
      <c r="J540"/>
      <c r="K540"/>
      <c r="L540"/>
      <c r="M540"/>
      <c r="N540" s="765"/>
      <c r="O540"/>
      <c r="P540"/>
      <c r="Q540" s="765"/>
      <c r="R540" s="765"/>
      <c r="S540" s="765"/>
    </row>
    <row r="541" spans="1:19" x14ac:dyDescent="0.2">
      <c r="A541" s="13"/>
      <c r="B541" s="13"/>
      <c r="C541" s="13"/>
      <c r="D541" s="13"/>
      <c r="E541"/>
      <c r="F541"/>
      <c r="G541"/>
      <c r="H541"/>
      <c r="I541"/>
      <c r="J541"/>
      <c r="K541"/>
      <c r="L541"/>
      <c r="M541"/>
      <c r="N541" s="765"/>
      <c r="O541"/>
      <c r="P541"/>
      <c r="Q541" s="765"/>
      <c r="R541" s="765"/>
      <c r="S541" s="765"/>
    </row>
    <row r="542" spans="1:19" x14ac:dyDescent="0.2">
      <c r="A542" s="13"/>
      <c r="B542" s="13"/>
      <c r="C542" s="13"/>
      <c r="D542" s="13"/>
      <c r="E542"/>
      <c r="F542"/>
      <c r="G542"/>
      <c r="H542"/>
      <c r="I542"/>
      <c r="J542"/>
      <c r="K542"/>
      <c r="L542"/>
      <c r="M542"/>
      <c r="N542" s="765"/>
      <c r="O542"/>
      <c r="P542"/>
      <c r="Q542" s="765"/>
      <c r="R542" s="765"/>
      <c r="S542" s="765"/>
    </row>
    <row r="543" spans="1:19" x14ac:dyDescent="0.2">
      <c r="A543" s="13"/>
      <c r="B543" s="13"/>
      <c r="C543" s="13"/>
      <c r="D543" s="13"/>
      <c r="E543"/>
      <c r="F543"/>
      <c r="G543"/>
      <c r="H543"/>
      <c r="I543"/>
      <c r="J543"/>
      <c r="K543"/>
      <c r="L543"/>
      <c r="M543"/>
      <c r="N543" s="765"/>
      <c r="O543"/>
      <c r="P543"/>
      <c r="Q543" s="765"/>
      <c r="R543" s="765"/>
      <c r="S543" s="765"/>
    </row>
    <row r="544" spans="1:19" x14ac:dyDescent="0.2">
      <c r="A544" s="13"/>
      <c r="B544" s="13"/>
      <c r="C544" s="13"/>
      <c r="D544" s="13"/>
      <c r="E544"/>
      <c r="F544"/>
      <c r="G544"/>
      <c r="H544"/>
      <c r="I544"/>
      <c r="J544"/>
      <c r="K544"/>
      <c r="L544"/>
      <c r="M544"/>
      <c r="N544" s="765"/>
      <c r="O544"/>
      <c r="P544"/>
      <c r="Q544" s="765"/>
      <c r="R544" s="765"/>
      <c r="S544" s="765"/>
    </row>
    <row r="545" spans="1:19" x14ac:dyDescent="0.2">
      <c r="A545" s="13"/>
      <c r="B545" s="13"/>
      <c r="C545" s="13"/>
      <c r="D545" s="13"/>
      <c r="E545"/>
      <c r="F545"/>
      <c r="G545"/>
      <c r="H545"/>
      <c r="I545"/>
      <c r="J545"/>
      <c r="K545"/>
      <c r="L545"/>
      <c r="M545"/>
      <c r="N545" s="765"/>
      <c r="O545"/>
      <c r="P545"/>
      <c r="Q545" s="765"/>
      <c r="R545" s="765"/>
      <c r="S545" s="765"/>
    </row>
    <row r="546" spans="1:19" x14ac:dyDescent="0.2">
      <c r="A546" s="13"/>
      <c r="B546" s="13"/>
      <c r="C546" s="13"/>
      <c r="D546" s="13"/>
      <c r="E546"/>
      <c r="F546"/>
      <c r="G546"/>
      <c r="H546"/>
      <c r="I546"/>
      <c r="J546"/>
      <c r="K546"/>
      <c r="L546"/>
      <c r="M546"/>
      <c r="N546" s="765"/>
      <c r="O546"/>
      <c r="P546"/>
      <c r="Q546" s="765"/>
      <c r="R546" s="765"/>
      <c r="S546" s="765"/>
    </row>
    <row r="547" spans="1:19" x14ac:dyDescent="0.2">
      <c r="A547" s="13"/>
      <c r="B547" s="13"/>
      <c r="C547" s="13"/>
      <c r="D547" s="13"/>
      <c r="E547"/>
      <c r="F547"/>
      <c r="G547"/>
      <c r="H547"/>
      <c r="I547"/>
      <c r="J547"/>
      <c r="K547"/>
      <c r="L547"/>
      <c r="M547"/>
      <c r="N547" s="765"/>
      <c r="O547"/>
      <c r="P547"/>
      <c r="Q547" s="765"/>
      <c r="R547" s="765"/>
      <c r="S547" s="765"/>
    </row>
    <row r="548" spans="1:19" x14ac:dyDescent="0.2">
      <c r="A548" s="13"/>
      <c r="B548" s="13"/>
      <c r="C548" s="13"/>
      <c r="D548" s="13"/>
      <c r="E548"/>
      <c r="F548"/>
      <c r="G548"/>
      <c r="H548"/>
      <c r="I548"/>
      <c r="J548"/>
      <c r="K548"/>
      <c r="L548"/>
      <c r="M548"/>
      <c r="N548" s="765"/>
      <c r="O548"/>
      <c r="P548"/>
      <c r="Q548" s="765"/>
      <c r="R548" s="765"/>
      <c r="S548" s="765"/>
    </row>
    <row r="549" spans="1:19" x14ac:dyDescent="0.2">
      <c r="A549" s="13"/>
      <c r="B549" s="13"/>
      <c r="C549" s="13"/>
      <c r="D549" s="13"/>
      <c r="E549"/>
      <c r="F549"/>
      <c r="G549"/>
      <c r="H549"/>
      <c r="I549"/>
      <c r="J549"/>
      <c r="K549"/>
      <c r="L549"/>
      <c r="M549"/>
      <c r="N549" s="765"/>
      <c r="O549"/>
      <c r="P549"/>
      <c r="Q549" s="765"/>
      <c r="R549" s="765"/>
      <c r="S549" s="765"/>
    </row>
    <row r="550" spans="1:19" x14ac:dyDescent="0.2">
      <c r="A550" s="13"/>
      <c r="B550" s="13"/>
      <c r="C550" s="13"/>
      <c r="D550" s="13"/>
      <c r="E550"/>
      <c r="F550"/>
      <c r="G550"/>
      <c r="H550"/>
      <c r="I550"/>
      <c r="J550"/>
      <c r="K550"/>
      <c r="L550"/>
      <c r="M550"/>
      <c r="N550" s="765"/>
      <c r="O550"/>
      <c r="P550"/>
      <c r="Q550" s="765"/>
      <c r="R550" s="765"/>
      <c r="S550" s="765"/>
    </row>
    <row r="551" spans="1:19" x14ac:dyDescent="0.2">
      <c r="A551" s="13"/>
      <c r="B551" s="13"/>
      <c r="C551" s="13"/>
      <c r="D551" s="13"/>
      <c r="E551"/>
      <c r="F551"/>
      <c r="G551"/>
      <c r="H551"/>
      <c r="I551"/>
      <c r="J551"/>
      <c r="K551"/>
      <c r="L551"/>
      <c r="M551"/>
      <c r="N551" s="765"/>
      <c r="O551"/>
      <c r="P551"/>
      <c r="Q551" s="765"/>
      <c r="R551" s="765"/>
      <c r="S551" s="765"/>
    </row>
    <row r="552" spans="1:19" x14ac:dyDescent="0.2">
      <c r="A552" s="13"/>
      <c r="B552" s="13"/>
      <c r="C552" s="13"/>
      <c r="D552" s="13"/>
      <c r="E552"/>
      <c r="F552"/>
      <c r="G552"/>
      <c r="H552"/>
      <c r="I552"/>
      <c r="J552"/>
      <c r="K552"/>
      <c r="L552"/>
      <c r="M552"/>
      <c r="N552" s="765"/>
      <c r="O552"/>
      <c r="P552"/>
      <c r="Q552" s="765"/>
      <c r="R552" s="765"/>
      <c r="S552" s="765"/>
    </row>
    <row r="553" spans="1:19" x14ac:dyDescent="0.2">
      <c r="A553" s="13"/>
      <c r="B553" s="13"/>
      <c r="C553" s="13"/>
      <c r="D553" s="13"/>
      <c r="E553"/>
      <c r="F553"/>
      <c r="G553"/>
      <c r="H553"/>
      <c r="I553"/>
      <c r="J553"/>
      <c r="K553"/>
      <c r="L553"/>
      <c r="M553"/>
      <c r="N553" s="765"/>
      <c r="O553"/>
      <c r="P553"/>
      <c r="Q553" s="765"/>
      <c r="R553" s="765"/>
      <c r="S553" s="765"/>
    </row>
    <row r="554" spans="1:19" x14ac:dyDescent="0.2">
      <c r="A554" s="13"/>
      <c r="B554" s="13"/>
      <c r="C554" s="13"/>
      <c r="D554" s="13"/>
      <c r="E554"/>
      <c r="F554"/>
      <c r="G554"/>
      <c r="H554"/>
      <c r="I554"/>
      <c r="J554"/>
      <c r="K554"/>
      <c r="L554"/>
      <c r="M554"/>
      <c r="N554" s="765"/>
      <c r="O554"/>
      <c r="P554"/>
      <c r="Q554" s="765"/>
      <c r="R554" s="765"/>
      <c r="S554" s="765"/>
    </row>
    <row r="555" spans="1:19" x14ac:dyDescent="0.2">
      <c r="A555" s="13"/>
      <c r="B555" s="13"/>
      <c r="C555" s="13"/>
      <c r="D555" s="13"/>
      <c r="E555"/>
      <c r="F555"/>
      <c r="G555"/>
      <c r="H555"/>
      <c r="I555"/>
      <c r="J555"/>
      <c r="K555"/>
      <c r="L555"/>
      <c r="M555"/>
      <c r="N555" s="765"/>
      <c r="O555"/>
      <c r="P555"/>
      <c r="Q555" s="765"/>
      <c r="R555" s="765"/>
      <c r="S555" s="765"/>
    </row>
    <row r="556" spans="1:19" x14ac:dyDescent="0.2">
      <c r="A556" s="13"/>
      <c r="B556" s="13"/>
      <c r="C556" s="13"/>
      <c r="D556" s="13"/>
      <c r="E556"/>
      <c r="F556"/>
      <c r="G556"/>
      <c r="H556"/>
      <c r="I556"/>
      <c r="J556"/>
      <c r="K556"/>
      <c r="L556"/>
      <c r="M556"/>
      <c r="N556" s="765"/>
      <c r="O556"/>
      <c r="P556"/>
      <c r="Q556" s="765"/>
      <c r="R556" s="765"/>
      <c r="S556" s="765"/>
    </row>
    <row r="557" spans="1:19" x14ac:dyDescent="0.2">
      <c r="A557" s="13"/>
      <c r="B557" s="13"/>
      <c r="C557" s="13"/>
      <c r="D557" s="13"/>
      <c r="E557"/>
      <c r="F557"/>
      <c r="G557"/>
      <c r="H557"/>
      <c r="I557"/>
      <c r="J557"/>
      <c r="K557"/>
      <c r="L557"/>
      <c r="M557"/>
      <c r="N557" s="765"/>
      <c r="O557"/>
      <c r="P557"/>
      <c r="Q557" s="765"/>
      <c r="R557" s="765"/>
      <c r="S557" s="765"/>
    </row>
    <row r="558" spans="1:19" x14ac:dyDescent="0.2">
      <c r="A558" s="13"/>
      <c r="B558" s="13"/>
      <c r="C558" s="13"/>
      <c r="D558" s="13"/>
      <c r="E558"/>
      <c r="F558"/>
      <c r="G558"/>
      <c r="H558"/>
      <c r="I558"/>
      <c r="J558"/>
      <c r="K558"/>
      <c r="L558"/>
      <c r="M558"/>
      <c r="N558" s="765"/>
      <c r="O558"/>
      <c r="P558"/>
      <c r="Q558" s="765"/>
      <c r="R558" s="765"/>
      <c r="S558" s="765"/>
    </row>
    <row r="559" spans="1:19" x14ac:dyDescent="0.2">
      <c r="A559" s="13"/>
      <c r="B559" s="13"/>
      <c r="C559" s="13"/>
      <c r="D559" s="13"/>
      <c r="E559"/>
      <c r="F559"/>
      <c r="G559"/>
      <c r="H559"/>
      <c r="I559"/>
      <c r="J559"/>
      <c r="K559"/>
      <c r="L559"/>
      <c r="M559"/>
      <c r="N559" s="765"/>
      <c r="O559"/>
      <c r="P559"/>
      <c r="Q559" s="765"/>
      <c r="R559" s="765"/>
      <c r="S559" s="765"/>
    </row>
    <row r="560" spans="1:19" x14ac:dyDescent="0.2">
      <c r="A560" s="13"/>
      <c r="B560" s="13"/>
      <c r="C560" s="13"/>
      <c r="D560" s="13"/>
      <c r="E560"/>
      <c r="F560"/>
      <c r="G560"/>
      <c r="H560"/>
      <c r="I560"/>
      <c r="J560"/>
      <c r="K560"/>
      <c r="L560"/>
      <c r="M560"/>
      <c r="N560" s="765"/>
      <c r="O560"/>
      <c r="P560"/>
      <c r="Q560" s="765"/>
      <c r="R560" s="765"/>
      <c r="S560" s="765"/>
    </row>
    <row r="561" spans="1:19" x14ac:dyDescent="0.2">
      <c r="A561" s="13"/>
      <c r="B561" s="13"/>
      <c r="C561" s="13"/>
      <c r="D561" s="13"/>
      <c r="E561"/>
      <c r="F561"/>
      <c r="G561"/>
      <c r="H561"/>
      <c r="I561"/>
      <c r="J561"/>
      <c r="K561"/>
      <c r="L561"/>
      <c r="M561"/>
      <c r="N561" s="765"/>
      <c r="O561"/>
      <c r="P561"/>
      <c r="Q561" s="765"/>
      <c r="R561" s="765"/>
      <c r="S561" s="765"/>
    </row>
    <row r="562" spans="1:19" x14ac:dyDescent="0.2">
      <c r="A562" s="13"/>
      <c r="B562" s="13"/>
      <c r="C562" s="13"/>
      <c r="D562" s="13"/>
      <c r="E562"/>
      <c r="F562"/>
      <c r="G562"/>
      <c r="H562"/>
      <c r="I562"/>
      <c r="J562"/>
      <c r="K562"/>
      <c r="L562"/>
      <c r="M562"/>
      <c r="N562" s="765"/>
      <c r="O562"/>
      <c r="P562"/>
      <c r="Q562" s="765"/>
      <c r="R562" s="765"/>
      <c r="S562" s="765"/>
    </row>
    <row r="563" spans="1:19" x14ac:dyDescent="0.2">
      <c r="A563" s="13"/>
      <c r="B563" s="13"/>
      <c r="C563" s="13"/>
      <c r="D563" s="13"/>
      <c r="E563"/>
      <c r="F563"/>
      <c r="G563"/>
      <c r="H563"/>
      <c r="I563"/>
      <c r="J563"/>
      <c r="K563"/>
      <c r="L563"/>
      <c r="M563"/>
      <c r="N563" s="765"/>
      <c r="O563"/>
      <c r="P563"/>
      <c r="Q563" s="765"/>
      <c r="R563" s="765"/>
      <c r="S563" s="765"/>
    </row>
    <row r="564" spans="1:19" x14ac:dyDescent="0.2">
      <c r="A564" s="13"/>
      <c r="B564" s="13"/>
      <c r="C564" s="13"/>
      <c r="D564" s="13"/>
      <c r="E564"/>
      <c r="F564"/>
      <c r="G564"/>
      <c r="H564"/>
      <c r="I564"/>
      <c r="J564"/>
      <c r="K564"/>
      <c r="L564"/>
      <c r="M564"/>
      <c r="N564" s="765"/>
      <c r="O564"/>
      <c r="P564"/>
      <c r="Q564" s="765"/>
      <c r="R564" s="765"/>
      <c r="S564" s="765"/>
    </row>
    <row r="565" spans="1:19" x14ac:dyDescent="0.2">
      <c r="A565" s="13"/>
      <c r="B565" s="13"/>
      <c r="C565" s="13"/>
      <c r="D565" s="13"/>
      <c r="E565"/>
      <c r="F565"/>
      <c r="G565"/>
      <c r="H565"/>
      <c r="I565"/>
      <c r="J565"/>
      <c r="K565"/>
      <c r="L565"/>
      <c r="M565"/>
      <c r="N565" s="765"/>
      <c r="O565"/>
      <c r="P565"/>
      <c r="Q565" s="765"/>
      <c r="R565" s="765"/>
      <c r="S565" s="765"/>
    </row>
    <row r="566" spans="1:19" x14ac:dyDescent="0.2">
      <c r="A566" s="13"/>
      <c r="B566" s="13"/>
      <c r="C566" s="13"/>
      <c r="D566" s="13"/>
      <c r="E566"/>
      <c r="F566"/>
      <c r="G566"/>
      <c r="H566"/>
      <c r="I566"/>
      <c r="J566"/>
      <c r="K566"/>
      <c r="L566"/>
      <c r="M566"/>
      <c r="N566" s="765"/>
      <c r="O566"/>
      <c r="P566"/>
      <c r="Q566" s="765"/>
      <c r="R566" s="765"/>
      <c r="S566" s="765"/>
    </row>
    <row r="567" spans="1:19" x14ac:dyDescent="0.2">
      <c r="A567" s="13"/>
      <c r="B567" s="13"/>
      <c r="C567" s="13"/>
      <c r="D567" s="13"/>
      <c r="E567"/>
      <c r="F567"/>
      <c r="G567"/>
      <c r="H567"/>
      <c r="I567"/>
      <c r="J567"/>
      <c r="K567"/>
      <c r="L567"/>
      <c r="M567"/>
      <c r="N567" s="765"/>
      <c r="O567"/>
      <c r="P567"/>
      <c r="Q567" s="765"/>
      <c r="R567" s="765"/>
      <c r="S567" s="765"/>
    </row>
    <row r="568" spans="1:19" x14ac:dyDescent="0.2">
      <c r="A568" s="13"/>
      <c r="B568" s="13"/>
      <c r="C568" s="13"/>
      <c r="D568" s="13"/>
      <c r="E568"/>
      <c r="F568"/>
      <c r="G568"/>
      <c r="H568"/>
      <c r="I568"/>
      <c r="J568"/>
      <c r="K568"/>
      <c r="L568"/>
      <c r="M568"/>
      <c r="N568" s="765"/>
      <c r="O568"/>
      <c r="P568"/>
      <c r="Q568" s="765"/>
      <c r="R568" s="765"/>
      <c r="S568" s="765"/>
    </row>
    <row r="569" spans="1:19" x14ac:dyDescent="0.2">
      <c r="A569" s="13"/>
      <c r="B569" s="13"/>
      <c r="C569" s="13"/>
      <c r="D569" s="13"/>
      <c r="E569"/>
      <c r="F569"/>
      <c r="G569"/>
      <c r="H569"/>
      <c r="I569"/>
      <c r="J569"/>
      <c r="K569"/>
      <c r="L569"/>
      <c r="M569"/>
      <c r="N569" s="765"/>
      <c r="O569"/>
      <c r="P569"/>
      <c r="Q569" s="765"/>
      <c r="R569" s="765"/>
      <c r="S569" s="765"/>
    </row>
    <row r="570" spans="1:19" x14ac:dyDescent="0.2">
      <c r="A570" s="13"/>
      <c r="B570" s="13"/>
      <c r="C570" s="13"/>
      <c r="D570" s="13"/>
      <c r="E570"/>
      <c r="F570"/>
      <c r="G570"/>
      <c r="H570"/>
      <c r="I570"/>
      <c r="J570"/>
      <c r="K570"/>
      <c r="L570"/>
      <c r="M570"/>
      <c r="N570" s="765"/>
      <c r="O570"/>
      <c r="P570"/>
      <c r="Q570" s="765"/>
      <c r="R570" s="765"/>
      <c r="S570" s="765"/>
    </row>
    <row r="571" spans="1:19" x14ac:dyDescent="0.2">
      <c r="A571" s="13"/>
      <c r="B571" s="13"/>
      <c r="C571" s="13"/>
      <c r="D571" s="13"/>
      <c r="E571"/>
      <c r="F571"/>
      <c r="G571"/>
      <c r="H571"/>
      <c r="I571"/>
      <c r="J571"/>
      <c r="K571"/>
      <c r="L571"/>
      <c r="M571"/>
      <c r="N571" s="765"/>
      <c r="O571"/>
      <c r="P571"/>
      <c r="Q571" s="765"/>
      <c r="R571" s="765"/>
      <c r="S571" s="765"/>
    </row>
    <row r="572" spans="1:19" x14ac:dyDescent="0.2">
      <c r="A572" s="13"/>
      <c r="B572" s="13"/>
      <c r="C572" s="13"/>
      <c r="D572" s="13"/>
      <c r="E572"/>
      <c r="F572"/>
      <c r="G572"/>
      <c r="H572"/>
      <c r="I572"/>
      <c r="J572"/>
      <c r="K572"/>
      <c r="L572"/>
      <c r="M572"/>
      <c r="N572" s="765"/>
      <c r="O572"/>
      <c r="P572"/>
      <c r="Q572" s="765"/>
      <c r="R572" s="765"/>
      <c r="S572" s="765"/>
    </row>
    <row r="573" spans="1:19" x14ac:dyDescent="0.2">
      <c r="A573" s="13"/>
      <c r="B573" s="13"/>
      <c r="C573" s="13"/>
      <c r="D573" s="13"/>
      <c r="E573"/>
      <c r="F573"/>
      <c r="G573"/>
      <c r="H573"/>
      <c r="I573"/>
      <c r="J573"/>
      <c r="K573"/>
      <c r="L573"/>
      <c r="M573"/>
      <c r="N573" s="765"/>
      <c r="O573"/>
      <c r="P573"/>
      <c r="Q573" s="765"/>
      <c r="R573" s="765"/>
      <c r="S573" s="765"/>
    </row>
    <row r="574" spans="1:19" x14ac:dyDescent="0.2">
      <c r="A574" s="13"/>
      <c r="B574" s="13"/>
      <c r="C574" s="13"/>
      <c r="D574" s="13"/>
      <c r="E574"/>
      <c r="F574"/>
      <c r="G574"/>
      <c r="H574"/>
      <c r="I574"/>
      <c r="J574"/>
      <c r="K574"/>
      <c r="L574"/>
      <c r="M574"/>
      <c r="N574" s="765"/>
      <c r="O574"/>
      <c r="P574"/>
      <c r="Q574" s="765"/>
      <c r="R574" s="765"/>
      <c r="S574" s="765"/>
    </row>
    <row r="575" spans="1:19" x14ac:dyDescent="0.2">
      <c r="A575" s="13"/>
      <c r="B575" s="13"/>
      <c r="C575" s="13"/>
      <c r="D575" s="13"/>
      <c r="E575"/>
      <c r="F575"/>
      <c r="G575"/>
      <c r="H575"/>
      <c r="I575"/>
      <c r="J575"/>
      <c r="K575"/>
      <c r="L575"/>
      <c r="M575"/>
      <c r="N575" s="765"/>
      <c r="O575"/>
      <c r="P575"/>
      <c r="Q575" s="765"/>
      <c r="R575" s="765"/>
      <c r="S575" s="765"/>
    </row>
    <row r="576" spans="1:19" x14ac:dyDescent="0.2">
      <c r="A576" s="13"/>
      <c r="B576" s="13"/>
      <c r="C576" s="13"/>
      <c r="D576" s="13"/>
      <c r="E576"/>
      <c r="F576"/>
      <c r="G576"/>
      <c r="H576"/>
      <c r="I576"/>
      <c r="J576"/>
      <c r="K576"/>
      <c r="L576"/>
      <c r="M576"/>
      <c r="N576" s="765"/>
      <c r="O576"/>
      <c r="P576"/>
      <c r="Q576" s="765"/>
      <c r="R576" s="765"/>
      <c r="S576" s="765"/>
    </row>
    <row r="577" spans="1:19" x14ac:dyDescent="0.2">
      <c r="A577" s="13"/>
      <c r="B577" s="13"/>
      <c r="C577" s="13"/>
      <c r="D577" s="13"/>
      <c r="E577"/>
      <c r="F577"/>
      <c r="G577"/>
      <c r="H577"/>
      <c r="I577"/>
      <c r="J577"/>
      <c r="K577"/>
      <c r="L577"/>
      <c r="M577"/>
      <c r="N577" s="765"/>
      <c r="O577"/>
      <c r="P577"/>
      <c r="Q577" s="765"/>
      <c r="R577" s="765"/>
      <c r="S577" s="765"/>
    </row>
    <row r="578" spans="1:19" x14ac:dyDescent="0.2">
      <c r="A578" s="13"/>
      <c r="B578" s="13"/>
      <c r="C578" s="13"/>
      <c r="D578" s="13"/>
      <c r="E578"/>
      <c r="F578"/>
      <c r="G578"/>
      <c r="H578"/>
      <c r="I578"/>
      <c r="J578"/>
      <c r="K578"/>
      <c r="L578"/>
      <c r="M578"/>
      <c r="N578" s="765"/>
      <c r="O578"/>
      <c r="P578"/>
      <c r="Q578" s="765"/>
      <c r="R578" s="765"/>
      <c r="S578" s="765"/>
    </row>
    <row r="579" spans="1:19" x14ac:dyDescent="0.2">
      <c r="A579" s="13"/>
      <c r="B579" s="13"/>
      <c r="C579" s="13"/>
      <c r="D579" s="13"/>
      <c r="E579"/>
      <c r="F579"/>
      <c r="G579"/>
      <c r="H579"/>
      <c r="I579"/>
      <c r="J579"/>
      <c r="K579"/>
      <c r="L579"/>
      <c r="M579"/>
      <c r="N579" s="765"/>
      <c r="O579"/>
      <c r="P579"/>
      <c r="Q579" s="765"/>
      <c r="R579" s="765"/>
      <c r="S579" s="765"/>
    </row>
    <row r="580" spans="1:19" x14ac:dyDescent="0.2">
      <c r="A580" s="13"/>
      <c r="B580" s="13"/>
      <c r="C580" s="13"/>
      <c r="D580" s="13"/>
      <c r="E580"/>
      <c r="F580"/>
      <c r="G580"/>
      <c r="H580"/>
      <c r="I580"/>
      <c r="J580"/>
      <c r="K580"/>
      <c r="L580"/>
      <c r="M580"/>
      <c r="N580" s="765"/>
      <c r="O580"/>
      <c r="P580"/>
      <c r="Q580" s="765"/>
      <c r="R580" s="765"/>
      <c r="S580" s="765"/>
    </row>
    <row r="581" spans="1:19" x14ac:dyDescent="0.2">
      <c r="A581" s="13"/>
      <c r="B581" s="13"/>
      <c r="C581" s="13"/>
      <c r="D581" s="13"/>
      <c r="E581"/>
      <c r="F581"/>
      <c r="G581"/>
      <c r="H581"/>
      <c r="I581"/>
      <c r="J581"/>
      <c r="K581"/>
      <c r="L581"/>
      <c r="M581"/>
      <c r="N581" s="765"/>
      <c r="O581"/>
      <c r="P581"/>
      <c r="Q581" s="765"/>
      <c r="R581" s="765"/>
      <c r="S581" s="765"/>
    </row>
    <row r="582" spans="1:19" x14ac:dyDescent="0.2">
      <c r="A582" s="13"/>
      <c r="B582" s="13"/>
      <c r="C582" s="13"/>
      <c r="D582" s="13"/>
      <c r="E582"/>
      <c r="F582"/>
      <c r="G582"/>
      <c r="H582"/>
      <c r="I582"/>
      <c r="J582"/>
      <c r="K582"/>
      <c r="L582"/>
      <c r="M582"/>
      <c r="N582" s="765"/>
      <c r="O582"/>
      <c r="P582"/>
      <c r="Q582" s="765"/>
      <c r="R582" s="765"/>
      <c r="S582" s="765"/>
    </row>
    <row r="583" spans="1:19" x14ac:dyDescent="0.2">
      <c r="A583" s="13"/>
      <c r="B583" s="13"/>
      <c r="C583" s="13"/>
      <c r="D583" s="13"/>
      <c r="E583"/>
      <c r="F583"/>
      <c r="G583"/>
      <c r="H583"/>
      <c r="I583"/>
      <c r="J583"/>
      <c r="K583"/>
      <c r="L583"/>
      <c r="M583"/>
      <c r="N583" s="765"/>
      <c r="O583"/>
      <c r="P583"/>
      <c r="Q583" s="765"/>
      <c r="R583" s="765"/>
      <c r="S583" s="765"/>
    </row>
    <row r="584" spans="1:19" x14ac:dyDescent="0.2">
      <c r="A584" s="13"/>
      <c r="B584" s="13"/>
      <c r="C584" s="13"/>
      <c r="D584" s="13"/>
      <c r="E584"/>
      <c r="F584"/>
      <c r="G584"/>
      <c r="H584"/>
      <c r="I584"/>
      <c r="J584"/>
      <c r="K584"/>
      <c r="L584"/>
      <c r="M584"/>
      <c r="N584" s="765"/>
      <c r="O584"/>
      <c r="P584"/>
      <c r="Q584" s="765"/>
      <c r="R584" s="765"/>
      <c r="S584" s="765"/>
    </row>
    <row r="585" spans="1:19" x14ac:dyDescent="0.2">
      <c r="A585" s="13"/>
      <c r="B585" s="13"/>
      <c r="C585" s="13"/>
      <c r="D585" s="13"/>
      <c r="E585"/>
      <c r="F585"/>
      <c r="G585"/>
      <c r="H585"/>
      <c r="I585"/>
      <c r="J585"/>
      <c r="K585"/>
      <c r="L585"/>
      <c r="M585"/>
      <c r="N585" s="765"/>
      <c r="O585"/>
      <c r="P585"/>
      <c r="Q585" s="765"/>
      <c r="R585" s="765"/>
      <c r="S585" s="765"/>
    </row>
    <row r="586" spans="1:19" x14ac:dyDescent="0.2">
      <c r="A586" s="13"/>
      <c r="B586" s="13"/>
      <c r="C586" s="13"/>
      <c r="D586" s="13"/>
      <c r="E586"/>
      <c r="F586"/>
      <c r="G586"/>
      <c r="H586"/>
      <c r="I586"/>
      <c r="J586"/>
      <c r="K586"/>
      <c r="L586"/>
      <c r="M586"/>
      <c r="N586" s="765"/>
      <c r="O586"/>
      <c r="P586"/>
      <c r="Q586" s="765"/>
      <c r="R586" s="765"/>
      <c r="S586" s="765"/>
    </row>
    <row r="587" spans="1:19" x14ac:dyDescent="0.2">
      <c r="A587" s="13"/>
      <c r="B587" s="13"/>
      <c r="C587" s="13"/>
      <c r="D587" s="13"/>
      <c r="E587"/>
      <c r="F587"/>
      <c r="G587"/>
      <c r="H587"/>
      <c r="I587"/>
      <c r="J587"/>
      <c r="K587"/>
      <c r="L587"/>
      <c r="M587"/>
      <c r="N587" s="765"/>
      <c r="O587"/>
      <c r="P587"/>
      <c r="Q587" s="765"/>
      <c r="R587" s="765"/>
      <c r="S587" s="765"/>
    </row>
    <row r="588" spans="1:19" x14ac:dyDescent="0.2">
      <c r="A588" s="13"/>
      <c r="B588" s="13"/>
      <c r="C588" s="13"/>
      <c r="D588" s="13"/>
      <c r="E588"/>
      <c r="F588"/>
      <c r="G588"/>
      <c r="H588"/>
      <c r="I588"/>
      <c r="J588"/>
      <c r="K588"/>
      <c r="L588"/>
      <c r="M588"/>
      <c r="N588" s="765"/>
      <c r="O588"/>
      <c r="P588"/>
      <c r="Q588" s="765"/>
      <c r="R588" s="765"/>
      <c r="S588" s="765"/>
    </row>
    <row r="589" spans="1:19" x14ac:dyDescent="0.2">
      <c r="A589" s="13"/>
      <c r="B589" s="13"/>
      <c r="C589" s="13"/>
      <c r="D589" s="13"/>
      <c r="E589"/>
      <c r="F589"/>
      <c r="G589"/>
      <c r="H589"/>
      <c r="I589"/>
      <c r="J589"/>
      <c r="K589"/>
      <c r="L589"/>
      <c r="M589"/>
      <c r="N589" s="765"/>
      <c r="O589"/>
      <c r="P589"/>
      <c r="Q589" s="765"/>
      <c r="R589" s="765"/>
      <c r="S589" s="765"/>
    </row>
    <row r="590" spans="1:19" x14ac:dyDescent="0.2">
      <c r="A590" s="13"/>
      <c r="B590" s="13"/>
      <c r="C590" s="13"/>
      <c r="D590" s="13"/>
      <c r="E590"/>
      <c r="F590"/>
      <c r="G590"/>
      <c r="H590"/>
      <c r="I590"/>
      <c r="J590"/>
      <c r="K590"/>
      <c r="L590"/>
      <c r="M590"/>
      <c r="N590" s="765"/>
      <c r="O590"/>
      <c r="P590"/>
      <c r="Q590" s="765"/>
      <c r="R590" s="765"/>
      <c r="S590" s="765"/>
    </row>
    <row r="591" spans="1:19" x14ac:dyDescent="0.2">
      <c r="A591" s="13"/>
      <c r="B591" s="13"/>
      <c r="C591" s="13"/>
      <c r="D591" s="13"/>
      <c r="E591"/>
      <c r="F591"/>
      <c r="G591"/>
      <c r="H591"/>
      <c r="I591"/>
      <c r="J591"/>
      <c r="K591"/>
      <c r="L591"/>
      <c r="M591"/>
      <c r="N591" s="765"/>
      <c r="O591"/>
      <c r="P591"/>
      <c r="Q591" s="765"/>
      <c r="R591" s="765"/>
      <c r="S591" s="765"/>
    </row>
    <row r="592" spans="1:19" x14ac:dyDescent="0.2">
      <c r="A592" s="13"/>
      <c r="B592" s="13"/>
      <c r="C592" s="13"/>
      <c r="D592" s="13"/>
      <c r="E592"/>
      <c r="F592"/>
      <c r="G592"/>
      <c r="H592"/>
      <c r="I592"/>
      <c r="J592"/>
      <c r="K592"/>
      <c r="L592"/>
      <c r="M592"/>
      <c r="N592" s="765"/>
      <c r="O592"/>
      <c r="P592"/>
      <c r="Q592" s="765"/>
      <c r="R592" s="765"/>
      <c r="S592" s="765"/>
    </row>
    <row r="593" spans="1:19" x14ac:dyDescent="0.2">
      <c r="A593" s="13"/>
      <c r="B593" s="13"/>
      <c r="C593" s="13"/>
      <c r="D593" s="13"/>
      <c r="E593"/>
      <c r="F593"/>
      <c r="G593"/>
      <c r="H593"/>
      <c r="I593"/>
      <c r="J593"/>
      <c r="K593"/>
      <c r="L593"/>
      <c r="M593"/>
      <c r="N593" s="765"/>
      <c r="O593"/>
      <c r="P593"/>
      <c r="Q593" s="765"/>
      <c r="R593" s="765"/>
      <c r="S593" s="765"/>
    </row>
    <row r="594" spans="1:19" x14ac:dyDescent="0.2">
      <c r="A594" s="13"/>
      <c r="B594" s="13"/>
      <c r="C594" s="13"/>
      <c r="D594" s="13"/>
      <c r="E594"/>
      <c r="F594"/>
      <c r="G594"/>
      <c r="H594"/>
      <c r="I594"/>
      <c r="J594"/>
      <c r="K594"/>
      <c r="L594"/>
      <c r="M594"/>
      <c r="N594" s="765"/>
      <c r="O594"/>
      <c r="P594"/>
      <c r="Q594" s="765"/>
      <c r="R594" s="765"/>
      <c r="S594" s="765"/>
    </row>
    <row r="595" spans="1:19" x14ac:dyDescent="0.2">
      <c r="A595" s="13"/>
      <c r="B595" s="13"/>
      <c r="C595" s="13"/>
      <c r="D595" s="13"/>
      <c r="E595"/>
      <c r="F595"/>
      <c r="G595"/>
      <c r="H595"/>
      <c r="I595"/>
      <c r="J595"/>
      <c r="K595"/>
      <c r="L595"/>
      <c r="M595"/>
      <c r="N595" s="765"/>
      <c r="O595"/>
      <c r="P595"/>
      <c r="Q595" s="765"/>
      <c r="R595" s="765"/>
      <c r="S595" s="765"/>
    </row>
    <row r="596" spans="1:19" x14ac:dyDescent="0.2">
      <c r="A596" s="13"/>
      <c r="B596" s="13"/>
      <c r="C596" s="13"/>
      <c r="D596" s="13"/>
      <c r="E596"/>
      <c r="F596"/>
      <c r="G596"/>
      <c r="H596"/>
      <c r="I596"/>
      <c r="J596"/>
      <c r="K596"/>
      <c r="L596"/>
      <c r="M596"/>
      <c r="N596" s="765"/>
      <c r="O596"/>
      <c r="P596"/>
      <c r="Q596" s="765"/>
      <c r="R596" s="765"/>
      <c r="S596" s="765"/>
    </row>
    <row r="597" spans="1:19" x14ac:dyDescent="0.2">
      <c r="A597" s="13"/>
      <c r="B597" s="13"/>
      <c r="C597" s="13"/>
      <c r="D597" s="13"/>
      <c r="E597"/>
      <c r="F597"/>
      <c r="G597"/>
      <c r="H597"/>
      <c r="I597"/>
      <c r="J597"/>
      <c r="K597"/>
      <c r="L597"/>
      <c r="M597"/>
      <c r="N597" s="765"/>
      <c r="O597"/>
      <c r="P597"/>
      <c r="Q597" s="765"/>
      <c r="R597" s="765"/>
      <c r="S597" s="765"/>
    </row>
    <row r="598" spans="1:19" x14ac:dyDescent="0.2">
      <c r="A598" s="13"/>
      <c r="B598" s="13"/>
      <c r="C598" s="13"/>
      <c r="D598" s="13"/>
      <c r="E598"/>
      <c r="F598"/>
      <c r="G598"/>
      <c r="H598"/>
      <c r="I598"/>
      <c r="J598"/>
      <c r="K598"/>
      <c r="L598"/>
      <c r="M598"/>
      <c r="N598" s="765"/>
      <c r="O598"/>
      <c r="P598"/>
      <c r="Q598" s="765"/>
      <c r="R598" s="765"/>
      <c r="S598" s="765"/>
    </row>
    <row r="599" spans="1:19" x14ac:dyDescent="0.2">
      <c r="A599" s="13"/>
      <c r="B599" s="13"/>
      <c r="C599" s="13"/>
      <c r="D599" s="13"/>
      <c r="E599"/>
      <c r="F599"/>
      <c r="G599"/>
      <c r="H599"/>
      <c r="I599"/>
      <c r="J599"/>
      <c r="K599"/>
      <c r="L599"/>
      <c r="M599"/>
      <c r="N599" s="765"/>
      <c r="O599"/>
      <c r="P599"/>
      <c r="Q599" s="765"/>
      <c r="R599" s="765"/>
      <c r="S599" s="765"/>
    </row>
    <row r="600" spans="1:19" x14ac:dyDescent="0.2">
      <c r="A600" s="13"/>
      <c r="B600" s="13"/>
      <c r="C600" s="13"/>
      <c r="D600" s="13"/>
      <c r="E600"/>
      <c r="F600"/>
      <c r="G600"/>
      <c r="H600"/>
      <c r="I600"/>
      <c r="J600"/>
      <c r="K600"/>
      <c r="L600"/>
      <c r="M600"/>
      <c r="N600" s="765"/>
      <c r="O600"/>
      <c r="P600"/>
      <c r="Q600" s="765"/>
      <c r="R600" s="765"/>
      <c r="S600" s="765"/>
    </row>
    <row r="601" spans="1:19" x14ac:dyDescent="0.2">
      <c r="A601" s="13"/>
      <c r="B601" s="13"/>
      <c r="C601" s="13"/>
      <c r="D601" s="13"/>
      <c r="E601"/>
      <c r="F601"/>
      <c r="G601"/>
      <c r="H601"/>
      <c r="I601"/>
      <c r="J601"/>
      <c r="K601"/>
      <c r="L601"/>
      <c r="M601"/>
      <c r="N601" s="765"/>
      <c r="O601"/>
      <c r="P601"/>
      <c r="Q601" s="765"/>
      <c r="R601" s="765"/>
      <c r="S601" s="765"/>
    </row>
    <row r="602" spans="1:19" x14ac:dyDescent="0.2">
      <c r="A602" s="13"/>
      <c r="B602" s="13"/>
      <c r="C602" s="13"/>
      <c r="D602" s="13"/>
      <c r="E602"/>
      <c r="F602"/>
      <c r="G602"/>
      <c r="H602"/>
      <c r="I602"/>
      <c r="J602"/>
      <c r="K602"/>
      <c r="L602"/>
      <c r="M602"/>
      <c r="N602" s="765"/>
      <c r="O602"/>
      <c r="P602"/>
      <c r="Q602" s="765"/>
      <c r="R602" s="765"/>
      <c r="S602" s="765"/>
    </row>
    <row r="603" spans="1:19" x14ac:dyDescent="0.2">
      <c r="A603" s="13"/>
      <c r="B603" s="13"/>
      <c r="C603" s="13"/>
      <c r="D603" s="13"/>
      <c r="E603"/>
      <c r="F603"/>
      <c r="G603"/>
      <c r="H603"/>
      <c r="I603"/>
      <c r="J603"/>
      <c r="K603"/>
      <c r="L603"/>
      <c r="M603"/>
      <c r="N603" s="765"/>
      <c r="O603"/>
      <c r="P603"/>
      <c r="Q603" s="765"/>
      <c r="R603" s="765"/>
      <c r="S603" s="765"/>
    </row>
    <row r="604" spans="1:19" x14ac:dyDescent="0.2">
      <c r="A604" s="13"/>
      <c r="B604" s="13"/>
      <c r="C604" s="13"/>
      <c r="D604" s="13"/>
      <c r="E604"/>
      <c r="F604"/>
      <c r="G604"/>
      <c r="H604"/>
      <c r="I604"/>
      <c r="J604"/>
      <c r="K604"/>
      <c r="L604"/>
      <c r="M604"/>
      <c r="N604" s="765"/>
      <c r="O604"/>
      <c r="P604"/>
      <c r="Q604" s="765"/>
      <c r="R604" s="765"/>
      <c r="S604" s="765"/>
    </row>
    <row r="605" spans="1:19" x14ac:dyDescent="0.2">
      <c r="A605" s="13"/>
      <c r="B605" s="13"/>
      <c r="C605" s="13"/>
      <c r="D605" s="13"/>
      <c r="E605"/>
      <c r="F605"/>
      <c r="G605"/>
      <c r="H605"/>
      <c r="I605"/>
      <c r="J605"/>
      <c r="K605"/>
      <c r="L605"/>
      <c r="M605"/>
      <c r="N605" s="765"/>
      <c r="O605"/>
      <c r="P605"/>
      <c r="Q605" s="765"/>
      <c r="R605" s="765"/>
      <c r="S605" s="765"/>
    </row>
    <row r="606" spans="1:19" x14ac:dyDescent="0.2">
      <c r="A606" s="13"/>
      <c r="B606" s="13"/>
      <c r="C606" s="13"/>
      <c r="D606" s="13"/>
      <c r="E606"/>
      <c r="F606"/>
      <c r="G606"/>
      <c r="H606"/>
      <c r="I606"/>
      <c r="J606"/>
      <c r="K606"/>
      <c r="L606"/>
      <c r="M606"/>
      <c r="N606" s="765"/>
      <c r="O606"/>
      <c r="P606"/>
      <c r="Q606" s="765"/>
      <c r="R606" s="765"/>
      <c r="S606" s="765"/>
    </row>
    <row r="607" spans="1:19" x14ac:dyDescent="0.2">
      <c r="A607" s="13"/>
      <c r="B607" s="13"/>
      <c r="C607" s="13"/>
      <c r="D607" s="13"/>
      <c r="E607"/>
      <c r="F607"/>
      <c r="G607"/>
      <c r="H607"/>
      <c r="I607"/>
      <c r="J607"/>
      <c r="K607"/>
      <c r="L607"/>
      <c r="M607"/>
      <c r="N607" s="765"/>
      <c r="O607"/>
      <c r="P607"/>
      <c r="Q607" s="765"/>
      <c r="R607" s="765"/>
      <c r="S607" s="765"/>
    </row>
    <row r="608" spans="1:19" x14ac:dyDescent="0.2">
      <c r="A608" s="13"/>
      <c r="B608" s="13"/>
      <c r="C608" s="13"/>
      <c r="D608" s="13"/>
      <c r="E608"/>
      <c r="F608"/>
      <c r="G608"/>
      <c r="H608"/>
      <c r="I608"/>
      <c r="J608"/>
      <c r="K608"/>
      <c r="L608"/>
      <c r="M608"/>
      <c r="N608" s="765"/>
      <c r="O608"/>
      <c r="P608"/>
      <c r="Q608" s="765"/>
      <c r="R608" s="765"/>
      <c r="S608" s="765"/>
    </row>
    <row r="609" spans="1:19" x14ac:dyDescent="0.2">
      <c r="A609" s="13"/>
      <c r="B609" s="13"/>
      <c r="C609" s="13"/>
      <c r="D609" s="13"/>
      <c r="E609"/>
      <c r="F609"/>
      <c r="G609"/>
      <c r="H609"/>
      <c r="I609"/>
      <c r="J609"/>
      <c r="K609"/>
      <c r="L609"/>
      <c r="M609"/>
      <c r="N609" s="765"/>
      <c r="O609"/>
      <c r="P609"/>
      <c r="Q609" s="765"/>
      <c r="R609" s="765"/>
      <c r="S609" s="765"/>
    </row>
    <row r="610" spans="1:19" x14ac:dyDescent="0.2">
      <c r="A610" s="13"/>
      <c r="B610" s="13"/>
      <c r="C610" s="13"/>
      <c r="D610" s="13"/>
      <c r="E610"/>
      <c r="F610"/>
      <c r="G610"/>
      <c r="H610"/>
      <c r="I610"/>
      <c r="J610"/>
      <c r="K610"/>
      <c r="L610"/>
      <c r="M610"/>
      <c r="N610" s="765"/>
      <c r="O610"/>
      <c r="P610"/>
      <c r="Q610" s="765"/>
      <c r="R610" s="765"/>
      <c r="S610" s="765"/>
    </row>
    <row r="611" spans="1:19" x14ac:dyDescent="0.2">
      <c r="A611" s="13"/>
      <c r="B611" s="13"/>
      <c r="C611" s="13"/>
      <c r="D611" s="13"/>
      <c r="E611"/>
      <c r="F611"/>
      <c r="G611"/>
      <c r="H611"/>
      <c r="I611"/>
      <c r="J611"/>
      <c r="K611"/>
      <c r="L611"/>
      <c r="M611"/>
      <c r="N611" s="765"/>
      <c r="O611"/>
      <c r="P611"/>
      <c r="Q611" s="765"/>
      <c r="R611" s="765"/>
      <c r="S611" s="765"/>
    </row>
    <row r="612" spans="1:19" x14ac:dyDescent="0.2">
      <c r="A612" s="13"/>
      <c r="B612" s="13"/>
      <c r="C612" s="13"/>
      <c r="D612" s="13"/>
      <c r="E612"/>
      <c r="F612"/>
      <c r="G612"/>
      <c r="H612"/>
      <c r="I612"/>
      <c r="J612"/>
      <c r="K612"/>
      <c r="L612"/>
      <c r="M612"/>
      <c r="N612" s="765"/>
      <c r="O612"/>
      <c r="P612"/>
      <c r="Q612" s="765"/>
      <c r="R612" s="765"/>
      <c r="S612" s="765"/>
    </row>
    <row r="613" spans="1:19" x14ac:dyDescent="0.2">
      <c r="A613" s="13"/>
      <c r="B613" s="13"/>
      <c r="C613" s="13"/>
      <c r="D613" s="13"/>
      <c r="E613"/>
      <c r="F613"/>
      <c r="G613"/>
      <c r="H613"/>
      <c r="I613"/>
      <c r="J613"/>
      <c r="K613"/>
      <c r="L613"/>
      <c r="M613"/>
      <c r="N613" s="765"/>
      <c r="O613"/>
      <c r="P613"/>
      <c r="Q613" s="765"/>
      <c r="R613" s="765"/>
      <c r="S613" s="765"/>
    </row>
    <row r="614" spans="1:19" x14ac:dyDescent="0.2">
      <c r="A614" s="13"/>
      <c r="B614" s="13"/>
      <c r="C614" s="13"/>
      <c r="D614" s="13"/>
      <c r="E614"/>
      <c r="F614"/>
      <c r="G614"/>
      <c r="H614"/>
      <c r="I614"/>
      <c r="J614"/>
      <c r="K614"/>
      <c r="L614"/>
      <c r="M614"/>
      <c r="N614" s="765"/>
      <c r="O614"/>
      <c r="P614"/>
      <c r="Q614" s="765"/>
      <c r="R614" s="765"/>
      <c r="S614" s="765"/>
    </row>
    <row r="615" spans="1:19" x14ac:dyDescent="0.2">
      <c r="A615" s="13"/>
      <c r="B615" s="13"/>
      <c r="C615" s="13"/>
      <c r="D615" s="13"/>
      <c r="E615"/>
      <c r="F615"/>
      <c r="G615"/>
      <c r="H615"/>
      <c r="I615"/>
      <c r="J615"/>
      <c r="K615"/>
      <c r="L615"/>
      <c r="M615"/>
      <c r="N615" s="765"/>
      <c r="O615"/>
      <c r="P615"/>
      <c r="Q615" s="765"/>
      <c r="R615" s="765"/>
      <c r="S615" s="765"/>
    </row>
    <row r="616" spans="1:19" x14ac:dyDescent="0.2">
      <c r="A616" s="13"/>
      <c r="B616" s="13"/>
      <c r="C616" s="13"/>
      <c r="D616" s="13"/>
      <c r="E616"/>
      <c r="F616"/>
      <c r="G616"/>
      <c r="H616"/>
      <c r="I616"/>
      <c r="J616"/>
      <c r="K616"/>
      <c r="L616"/>
      <c r="M616"/>
      <c r="N616" s="765"/>
      <c r="O616"/>
      <c r="P616"/>
      <c r="Q616" s="765"/>
      <c r="R616" s="765"/>
      <c r="S616" s="765"/>
    </row>
    <row r="617" spans="1:19" x14ac:dyDescent="0.2">
      <c r="A617" s="13"/>
      <c r="B617" s="13"/>
      <c r="C617" s="13"/>
      <c r="D617" s="13"/>
      <c r="E617"/>
      <c r="F617"/>
      <c r="G617"/>
      <c r="H617"/>
      <c r="I617"/>
      <c r="J617"/>
      <c r="K617"/>
      <c r="L617"/>
      <c r="M617"/>
      <c r="N617" s="765"/>
      <c r="O617"/>
      <c r="P617"/>
      <c r="Q617" s="765"/>
      <c r="R617" s="765"/>
      <c r="S617" s="765"/>
    </row>
    <row r="618" spans="1:19" x14ac:dyDescent="0.2">
      <c r="A618" s="13"/>
      <c r="B618" s="13"/>
      <c r="C618" s="13"/>
      <c r="D618" s="13"/>
      <c r="E618"/>
      <c r="F618"/>
      <c r="G618"/>
      <c r="H618"/>
      <c r="I618"/>
      <c r="J618"/>
      <c r="K618"/>
      <c r="L618"/>
      <c r="M618"/>
      <c r="N618" s="765"/>
      <c r="O618"/>
      <c r="P618"/>
      <c r="Q618" s="765"/>
      <c r="R618" s="765"/>
      <c r="S618" s="765"/>
    </row>
    <row r="619" spans="1:19" x14ac:dyDescent="0.2">
      <c r="A619" s="13"/>
      <c r="B619" s="13"/>
      <c r="C619" s="13"/>
      <c r="D619" s="13"/>
      <c r="E619"/>
      <c r="F619"/>
      <c r="G619"/>
      <c r="H619"/>
      <c r="I619"/>
      <c r="J619"/>
      <c r="K619"/>
      <c r="L619"/>
      <c r="M619"/>
      <c r="N619" s="765"/>
      <c r="O619"/>
      <c r="P619"/>
      <c r="Q619" s="765"/>
      <c r="R619" s="765"/>
      <c r="S619" s="765"/>
    </row>
    <row r="620" spans="1:19" x14ac:dyDescent="0.2">
      <c r="A620" s="13"/>
      <c r="B620" s="13"/>
      <c r="C620" s="13"/>
      <c r="D620" s="13"/>
      <c r="E620"/>
      <c r="F620"/>
      <c r="G620"/>
      <c r="H620"/>
      <c r="I620"/>
      <c r="J620"/>
      <c r="K620"/>
      <c r="L620"/>
      <c r="M620"/>
      <c r="N620" s="765"/>
      <c r="O620"/>
      <c r="P620"/>
      <c r="Q620" s="765"/>
      <c r="R620" s="765"/>
      <c r="S620" s="765"/>
    </row>
    <row r="621" spans="1:19" x14ac:dyDescent="0.2">
      <c r="A621" s="13"/>
      <c r="B621" s="13"/>
      <c r="C621" s="13"/>
      <c r="D621" s="13"/>
      <c r="E621"/>
      <c r="F621"/>
      <c r="G621"/>
      <c r="H621"/>
      <c r="I621"/>
      <c r="J621"/>
      <c r="K621"/>
      <c r="L621"/>
      <c r="M621"/>
      <c r="N621" s="765"/>
      <c r="O621"/>
      <c r="P621"/>
      <c r="Q621" s="765"/>
      <c r="R621" s="765"/>
      <c r="S621" s="765"/>
    </row>
    <row r="622" spans="1:19" x14ac:dyDescent="0.2">
      <c r="A622" s="13"/>
      <c r="B622" s="13"/>
      <c r="C622" s="13"/>
      <c r="D622" s="13"/>
      <c r="E622"/>
      <c r="F622"/>
      <c r="G622"/>
      <c r="H622"/>
      <c r="I622"/>
      <c r="J622"/>
      <c r="K622"/>
      <c r="L622"/>
      <c r="M622"/>
      <c r="N622" s="765"/>
      <c r="O622"/>
      <c r="P622"/>
      <c r="Q622" s="765"/>
      <c r="R622" s="765"/>
      <c r="S622" s="765"/>
    </row>
    <row r="623" spans="1:19" x14ac:dyDescent="0.2">
      <c r="A623" s="13"/>
      <c r="B623" s="13"/>
      <c r="C623" s="13"/>
      <c r="D623" s="13"/>
      <c r="E623"/>
      <c r="F623"/>
      <c r="G623"/>
      <c r="H623"/>
      <c r="I623"/>
      <c r="J623"/>
      <c r="K623"/>
      <c r="L623"/>
      <c r="M623"/>
      <c r="N623" s="765"/>
      <c r="O623"/>
      <c r="P623"/>
      <c r="Q623" s="765"/>
      <c r="R623" s="765"/>
      <c r="S623" s="765"/>
    </row>
    <row r="624" spans="1:19" x14ac:dyDescent="0.2">
      <c r="A624" s="13"/>
      <c r="B624" s="13"/>
      <c r="C624" s="13"/>
      <c r="D624" s="13"/>
      <c r="E624"/>
      <c r="F624"/>
      <c r="G624"/>
      <c r="H624"/>
      <c r="I624"/>
      <c r="J624"/>
      <c r="K624"/>
      <c r="L624"/>
      <c r="M624"/>
      <c r="N624" s="765"/>
      <c r="O624"/>
      <c r="P624"/>
      <c r="Q624" s="765"/>
      <c r="R624" s="765"/>
      <c r="S624" s="765"/>
    </row>
    <row r="625" spans="1:19" x14ac:dyDescent="0.2">
      <c r="A625" s="13"/>
      <c r="B625" s="13"/>
      <c r="C625" s="13"/>
      <c r="D625" s="13"/>
      <c r="E625"/>
      <c r="F625"/>
      <c r="G625"/>
      <c r="H625"/>
      <c r="I625"/>
      <c r="J625"/>
      <c r="K625"/>
      <c r="L625"/>
      <c r="M625"/>
      <c r="N625" s="765"/>
      <c r="O625"/>
      <c r="P625"/>
      <c r="Q625" s="765"/>
      <c r="R625" s="765"/>
      <c r="S625" s="765"/>
    </row>
    <row r="626" spans="1:19" x14ac:dyDescent="0.2">
      <c r="A626" s="13"/>
      <c r="B626" s="13"/>
      <c r="C626" s="13"/>
      <c r="D626" s="13"/>
      <c r="E626"/>
      <c r="F626"/>
      <c r="G626"/>
      <c r="H626"/>
      <c r="I626"/>
      <c r="J626"/>
      <c r="K626"/>
      <c r="L626"/>
      <c r="M626"/>
      <c r="N626" s="765"/>
      <c r="O626"/>
      <c r="P626"/>
      <c r="Q626" s="765"/>
      <c r="R626" s="765"/>
      <c r="S626" s="765"/>
    </row>
    <row r="627" spans="1:19" x14ac:dyDescent="0.2">
      <c r="A627" s="13"/>
      <c r="B627" s="13"/>
      <c r="C627" s="13"/>
      <c r="D627" s="13"/>
      <c r="E627"/>
      <c r="F627"/>
      <c r="G627"/>
      <c r="H627"/>
      <c r="I627"/>
      <c r="J627"/>
      <c r="K627"/>
      <c r="L627"/>
      <c r="M627"/>
      <c r="N627" s="765"/>
      <c r="O627"/>
      <c r="P627"/>
      <c r="Q627" s="765"/>
      <c r="R627" s="765"/>
      <c r="S627" s="765"/>
    </row>
    <row r="628" spans="1:19" x14ac:dyDescent="0.2">
      <c r="A628" s="13"/>
      <c r="B628" s="13"/>
      <c r="C628" s="13"/>
      <c r="D628" s="13"/>
      <c r="E628"/>
      <c r="F628"/>
      <c r="G628"/>
      <c r="H628"/>
      <c r="I628"/>
      <c r="J628"/>
      <c r="K628"/>
      <c r="L628"/>
      <c r="M628"/>
      <c r="N628" s="765"/>
      <c r="O628"/>
      <c r="P628"/>
      <c r="Q628" s="765"/>
      <c r="R628" s="765"/>
      <c r="S628" s="765"/>
    </row>
    <row r="629" spans="1:19" x14ac:dyDescent="0.2">
      <c r="A629" s="13"/>
      <c r="B629" s="13"/>
      <c r="C629" s="13"/>
      <c r="D629" s="13"/>
      <c r="E629"/>
      <c r="F629"/>
      <c r="G629"/>
      <c r="H629"/>
      <c r="I629"/>
      <c r="J629"/>
      <c r="K629"/>
      <c r="L629"/>
      <c r="M629"/>
      <c r="N629" s="765"/>
      <c r="O629"/>
      <c r="P629"/>
      <c r="Q629" s="765"/>
      <c r="R629" s="765"/>
      <c r="S629" s="765"/>
    </row>
    <row r="630" spans="1:19" x14ac:dyDescent="0.2">
      <c r="A630" s="13"/>
      <c r="B630" s="13"/>
      <c r="C630" s="13"/>
      <c r="D630" s="13"/>
      <c r="E630"/>
      <c r="F630"/>
      <c r="G630"/>
      <c r="H630"/>
      <c r="I630"/>
      <c r="J630"/>
      <c r="K630"/>
      <c r="L630"/>
      <c r="M630"/>
      <c r="N630" s="765"/>
      <c r="O630"/>
      <c r="P630"/>
      <c r="Q630" s="765"/>
      <c r="R630" s="765"/>
      <c r="S630" s="765"/>
    </row>
    <row r="631" spans="1:19" x14ac:dyDescent="0.2">
      <c r="A631" s="13"/>
      <c r="B631" s="13"/>
      <c r="C631" s="13"/>
      <c r="D631" s="13"/>
      <c r="E631"/>
      <c r="F631"/>
      <c r="G631"/>
      <c r="H631"/>
      <c r="I631"/>
      <c r="J631"/>
      <c r="K631"/>
      <c r="L631"/>
      <c r="M631"/>
      <c r="N631" s="765"/>
      <c r="O631"/>
      <c r="P631"/>
      <c r="Q631" s="765"/>
      <c r="R631" s="765"/>
      <c r="S631" s="765"/>
    </row>
    <row r="632" spans="1:19" x14ac:dyDescent="0.2">
      <c r="A632" s="13"/>
      <c r="B632" s="13"/>
      <c r="C632" s="13"/>
      <c r="D632" s="13"/>
      <c r="E632"/>
      <c r="F632"/>
      <c r="G632"/>
      <c r="H632"/>
      <c r="I632"/>
      <c r="J632"/>
      <c r="K632"/>
      <c r="L632"/>
      <c r="M632"/>
      <c r="N632" s="765"/>
      <c r="O632"/>
      <c r="P632"/>
      <c r="Q632" s="765"/>
      <c r="R632" s="765"/>
      <c r="S632" s="765"/>
    </row>
    <row r="633" spans="1:19" x14ac:dyDescent="0.2">
      <c r="A633" s="13"/>
      <c r="B633" s="13"/>
      <c r="C633" s="13"/>
      <c r="D633" s="13"/>
      <c r="E633"/>
      <c r="F633"/>
      <c r="G633"/>
      <c r="H633"/>
      <c r="I633"/>
      <c r="J633"/>
      <c r="K633"/>
      <c r="L633"/>
      <c r="M633"/>
      <c r="N633" s="765"/>
      <c r="O633"/>
      <c r="P633"/>
      <c r="Q633" s="765"/>
      <c r="R633" s="765"/>
      <c r="S633" s="765"/>
    </row>
    <row r="634" spans="1:19" x14ac:dyDescent="0.2">
      <c r="A634" s="13"/>
      <c r="B634" s="13"/>
      <c r="C634" s="13"/>
      <c r="D634" s="13"/>
      <c r="E634"/>
      <c r="F634"/>
      <c r="G634"/>
      <c r="H634"/>
      <c r="I634"/>
      <c r="J634"/>
      <c r="K634"/>
      <c r="L634"/>
      <c r="M634"/>
      <c r="N634" s="765"/>
      <c r="O634"/>
      <c r="P634"/>
      <c r="Q634" s="765"/>
      <c r="R634" s="765"/>
      <c r="S634" s="765"/>
    </row>
    <row r="635" spans="1:19" x14ac:dyDescent="0.2">
      <c r="A635" s="13"/>
      <c r="B635" s="13"/>
      <c r="C635" s="13"/>
      <c r="D635" s="13"/>
      <c r="E635"/>
      <c r="F635"/>
      <c r="G635"/>
      <c r="H635"/>
      <c r="I635"/>
      <c r="J635"/>
      <c r="K635"/>
      <c r="L635"/>
      <c r="M635"/>
      <c r="N635" s="765"/>
      <c r="O635"/>
      <c r="P635"/>
      <c r="Q635" s="765"/>
      <c r="R635" s="765"/>
      <c r="S635" s="765"/>
    </row>
    <row r="636" spans="1:19" x14ac:dyDescent="0.2">
      <c r="A636" s="13"/>
      <c r="B636" s="13"/>
      <c r="C636" s="13"/>
      <c r="D636" s="13"/>
      <c r="E636"/>
      <c r="F636"/>
      <c r="G636"/>
      <c r="H636"/>
      <c r="I636"/>
      <c r="J636"/>
      <c r="K636"/>
      <c r="L636"/>
      <c r="M636"/>
      <c r="N636" s="765"/>
      <c r="O636"/>
      <c r="P636"/>
      <c r="Q636" s="765"/>
      <c r="R636" s="765"/>
      <c r="S636" s="765"/>
    </row>
    <row r="637" spans="1:19" x14ac:dyDescent="0.2">
      <c r="A637" s="13"/>
      <c r="B637" s="13"/>
      <c r="C637" s="13"/>
      <c r="D637" s="13"/>
      <c r="E637"/>
      <c r="F637"/>
      <c r="G637"/>
      <c r="H637"/>
      <c r="I637"/>
      <c r="J637"/>
      <c r="K637"/>
      <c r="L637"/>
      <c r="M637"/>
      <c r="N637" s="765"/>
      <c r="O637"/>
      <c r="P637"/>
      <c r="Q637" s="765"/>
      <c r="R637" s="765"/>
      <c r="S637" s="765"/>
    </row>
    <row r="638" spans="1:19" x14ac:dyDescent="0.2">
      <c r="A638" s="13"/>
      <c r="B638" s="13"/>
      <c r="C638" s="13"/>
      <c r="D638" s="13"/>
      <c r="E638"/>
      <c r="F638"/>
      <c r="G638"/>
      <c r="H638"/>
      <c r="I638"/>
      <c r="J638"/>
      <c r="K638"/>
      <c r="L638"/>
      <c r="M638"/>
      <c r="N638" s="765"/>
      <c r="O638"/>
      <c r="P638"/>
      <c r="Q638" s="765"/>
      <c r="R638" s="765"/>
      <c r="S638" s="765"/>
    </row>
    <row r="639" spans="1:19" x14ac:dyDescent="0.2">
      <c r="A639" s="13"/>
      <c r="B639" s="13"/>
      <c r="C639" s="13"/>
      <c r="D639" s="13"/>
      <c r="E639"/>
      <c r="F639"/>
      <c r="G639"/>
      <c r="H639"/>
      <c r="I639"/>
      <c r="J639"/>
      <c r="K639"/>
      <c r="L639"/>
      <c r="M639"/>
      <c r="N639" s="765"/>
      <c r="O639"/>
      <c r="P639"/>
      <c r="Q639" s="765"/>
      <c r="R639" s="765"/>
      <c r="S639" s="765"/>
    </row>
    <row r="640" spans="1:19" x14ac:dyDescent="0.2">
      <c r="A640" s="13"/>
      <c r="B640" s="13"/>
      <c r="C640" s="13"/>
      <c r="D640" s="13"/>
      <c r="E640"/>
      <c r="F640"/>
      <c r="G640"/>
      <c r="H640"/>
      <c r="I640"/>
      <c r="J640"/>
      <c r="K640"/>
      <c r="L640"/>
      <c r="M640"/>
      <c r="N640" s="765"/>
      <c r="O640"/>
      <c r="P640"/>
      <c r="Q640" s="765"/>
      <c r="R640" s="765"/>
      <c r="S640" s="765"/>
    </row>
    <row r="641" spans="1:19" x14ac:dyDescent="0.2">
      <c r="A641" s="13"/>
      <c r="B641" s="13"/>
      <c r="C641" s="13"/>
      <c r="D641" s="13"/>
      <c r="E641"/>
      <c r="F641"/>
      <c r="G641"/>
      <c r="H641"/>
      <c r="I641"/>
      <c r="J641"/>
      <c r="K641"/>
      <c r="L641"/>
      <c r="M641"/>
      <c r="N641" s="765"/>
      <c r="O641"/>
      <c r="P641"/>
      <c r="Q641" s="765"/>
      <c r="R641" s="765"/>
      <c r="S641" s="765"/>
    </row>
    <row r="642" spans="1:19" x14ac:dyDescent="0.2">
      <c r="A642" s="13"/>
      <c r="B642" s="13"/>
      <c r="C642" s="13"/>
      <c r="D642" s="13"/>
      <c r="E642"/>
      <c r="F642"/>
      <c r="G642"/>
      <c r="H642"/>
      <c r="I642"/>
      <c r="J642"/>
      <c r="K642"/>
      <c r="L642"/>
      <c r="M642"/>
      <c r="N642" s="765"/>
      <c r="O642"/>
      <c r="P642"/>
      <c r="Q642" s="765"/>
      <c r="R642" s="765"/>
      <c r="S642" s="765"/>
    </row>
    <row r="643" spans="1:19" x14ac:dyDescent="0.2">
      <c r="A643" s="13"/>
      <c r="B643" s="13"/>
      <c r="C643" s="13"/>
      <c r="D643" s="13"/>
      <c r="E643"/>
      <c r="F643"/>
      <c r="G643"/>
      <c r="H643"/>
      <c r="I643"/>
      <c r="J643"/>
      <c r="K643"/>
      <c r="L643"/>
      <c r="M643"/>
      <c r="N643" s="765"/>
      <c r="O643"/>
      <c r="P643"/>
      <c r="Q643" s="765"/>
      <c r="R643" s="765"/>
      <c r="S643" s="765"/>
    </row>
    <row r="644" spans="1:19" x14ac:dyDescent="0.2">
      <c r="A644" s="13"/>
      <c r="B644" s="13"/>
      <c r="C644" s="13"/>
      <c r="D644" s="13"/>
      <c r="E644"/>
      <c r="F644"/>
      <c r="G644"/>
      <c r="H644"/>
      <c r="I644"/>
      <c r="J644"/>
      <c r="K644"/>
      <c r="L644"/>
      <c r="M644"/>
      <c r="N644" s="765"/>
      <c r="O644"/>
      <c r="P644"/>
      <c r="Q644" s="765"/>
      <c r="R644" s="765"/>
      <c r="S644" s="765"/>
    </row>
    <row r="645" spans="1:19" x14ac:dyDescent="0.2">
      <c r="A645" s="13"/>
      <c r="B645" s="13"/>
      <c r="C645" s="13"/>
      <c r="D645" s="13"/>
      <c r="E645"/>
      <c r="F645"/>
      <c r="G645"/>
      <c r="H645"/>
      <c r="I645"/>
      <c r="J645"/>
      <c r="K645"/>
      <c r="L645"/>
      <c r="M645"/>
      <c r="N645" s="765"/>
      <c r="O645"/>
      <c r="P645"/>
      <c r="Q645" s="765"/>
      <c r="R645" s="765"/>
      <c r="S645" s="765"/>
    </row>
    <row r="646" spans="1:19" x14ac:dyDescent="0.2">
      <c r="A646" s="13"/>
      <c r="B646" s="13"/>
      <c r="C646" s="13"/>
      <c r="D646" s="13"/>
      <c r="E646"/>
      <c r="F646"/>
      <c r="G646"/>
      <c r="H646"/>
      <c r="I646"/>
      <c r="J646"/>
      <c r="K646"/>
      <c r="L646"/>
      <c r="M646"/>
      <c r="N646" s="765"/>
      <c r="O646"/>
      <c r="P646"/>
      <c r="Q646" s="765"/>
      <c r="R646" s="765"/>
      <c r="S646" s="765"/>
    </row>
    <row r="647" spans="1:19" x14ac:dyDescent="0.2">
      <c r="A647" s="13"/>
      <c r="B647" s="13"/>
      <c r="C647" s="13"/>
      <c r="D647" s="13"/>
      <c r="E647"/>
      <c r="F647"/>
      <c r="G647"/>
      <c r="H647"/>
      <c r="I647"/>
      <c r="J647"/>
      <c r="K647"/>
      <c r="L647"/>
      <c r="M647"/>
      <c r="N647" s="765"/>
      <c r="O647"/>
      <c r="P647"/>
      <c r="Q647" s="765"/>
      <c r="R647" s="765"/>
      <c r="S647" s="765"/>
    </row>
    <row r="648" spans="1:19" x14ac:dyDescent="0.2">
      <c r="A648" s="13"/>
      <c r="B648" s="13"/>
      <c r="C648" s="13"/>
      <c r="D648" s="13"/>
      <c r="E648"/>
      <c r="F648"/>
      <c r="G648"/>
      <c r="H648"/>
      <c r="I648"/>
      <c r="J648"/>
      <c r="K648"/>
      <c r="L648"/>
      <c r="M648"/>
      <c r="N648" s="765"/>
      <c r="O648"/>
      <c r="P648"/>
      <c r="Q648" s="765"/>
      <c r="R648" s="765"/>
      <c r="S648" s="765"/>
    </row>
    <row r="649" spans="1:19" x14ac:dyDescent="0.2">
      <c r="A649" s="13"/>
      <c r="B649" s="13"/>
      <c r="C649" s="13"/>
      <c r="D649" s="13"/>
      <c r="E649"/>
      <c r="F649"/>
      <c r="G649"/>
      <c r="H649"/>
      <c r="I649"/>
      <c r="J649"/>
      <c r="K649"/>
      <c r="L649"/>
      <c r="M649"/>
      <c r="N649" s="765"/>
      <c r="O649"/>
      <c r="P649"/>
      <c r="Q649" s="765"/>
      <c r="R649" s="765"/>
      <c r="S649" s="765"/>
    </row>
    <row r="650" spans="1:19" x14ac:dyDescent="0.2">
      <c r="A650" s="13"/>
      <c r="B650" s="13"/>
      <c r="C650" s="13"/>
      <c r="D650" s="13"/>
      <c r="E650"/>
      <c r="F650"/>
      <c r="G650"/>
      <c r="H650"/>
      <c r="I650"/>
      <c r="J650"/>
      <c r="K650"/>
      <c r="L650"/>
      <c r="M650"/>
      <c r="N650" s="765"/>
      <c r="O650"/>
      <c r="P650"/>
      <c r="Q650" s="765"/>
      <c r="R650" s="765"/>
      <c r="S650" s="765"/>
    </row>
    <row r="651" spans="1:19" x14ac:dyDescent="0.2">
      <c r="A651" s="13"/>
      <c r="B651" s="13"/>
      <c r="C651" s="13"/>
      <c r="D651" s="13"/>
      <c r="E651"/>
      <c r="F651"/>
      <c r="G651"/>
      <c r="H651"/>
      <c r="I651"/>
      <c r="J651"/>
      <c r="K651"/>
      <c r="L651"/>
      <c r="M651"/>
      <c r="N651" s="765"/>
      <c r="O651"/>
      <c r="P651"/>
      <c r="Q651" s="765"/>
      <c r="R651" s="765"/>
      <c r="S651" s="765"/>
    </row>
    <row r="652" spans="1:19" x14ac:dyDescent="0.2">
      <c r="A652" s="13"/>
      <c r="B652" s="13"/>
      <c r="C652" s="13"/>
      <c r="D652" s="13"/>
      <c r="E652"/>
      <c r="F652"/>
      <c r="G652"/>
      <c r="H652"/>
      <c r="I652"/>
      <c r="J652"/>
      <c r="K652"/>
      <c r="L652"/>
      <c r="M652"/>
      <c r="N652" s="765"/>
      <c r="O652"/>
      <c r="P652"/>
      <c r="Q652" s="765"/>
      <c r="R652" s="765"/>
      <c r="S652" s="765"/>
    </row>
    <row r="653" spans="1:19" x14ac:dyDescent="0.2">
      <c r="A653" s="13"/>
      <c r="B653" s="13"/>
      <c r="C653" s="13"/>
      <c r="D653" s="13"/>
      <c r="E653"/>
      <c r="F653"/>
      <c r="G653"/>
      <c r="H653"/>
      <c r="I653"/>
      <c r="J653"/>
      <c r="K653"/>
      <c r="L653"/>
      <c r="M653"/>
      <c r="N653" s="765"/>
      <c r="O653"/>
      <c r="P653"/>
      <c r="Q653" s="765"/>
      <c r="R653" s="765"/>
      <c r="S653" s="765"/>
    </row>
    <row r="654" spans="1:19" x14ac:dyDescent="0.2">
      <c r="A654" s="13"/>
      <c r="B654" s="13"/>
      <c r="C654" s="13"/>
      <c r="D654" s="13"/>
      <c r="E654"/>
      <c r="F654"/>
      <c r="G654"/>
      <c r="H654"/>
      <c r="I654"/>
      <c r="J654"/>
      <c r="K654"/>
      <c r="L654"/>
      <c r="M654"/>
      <c r="N654" s="765"/>
      <c r="O654"/>
      <c r="P654"/>
      <c r="Q654" s="765"/>
      <c r="R654" s="765"/>
      <c r="S654" s="765"/>
    </row>
    <row r="655" spans="1:19" x14ac:dyDescent="0.2">
      <c r="A655" s="13"/>
      <c r="B655" s="13"/>
      <c r="C655" s="13"/>
      <c r="D655" s="13"/>
      <c r="E655"/>
      <c r="F655"/>
      <c r="G655"/>
      <c r="H655"/>
      <c r="I655"/>
      <c r="J655"/>
      <c r="K655"/>
      <c r="L655"/>
      <c r="M655"/>
      <c r="N655" s="765"/>
      <c r="O655"/>
      <c r="P655"/>
      <c r="Q655" s="765"/>
      <c r="R655" s="765"/>
      <c r="S655" s="765"/>
    </row>
    <row r="656" spans="1:19" x14ac:dyDescent="0.2">
      <c r="A656" s="13"/>
      <c r="B656" s="13"/>
      <c r="C656" s="13"/>
      <c r="D656" s="13"/>
      <c r="E656"/>
      <c r="F656"/>
      <c r="G656"/>
      <c r="H656"/>
      <c r="I656"/>
      <c r="J656"/>
      <c r="K656"/>
      <c r="L656"/>
      <c r="M656"/>
      <c r="N656" s="765"/>
      <c r="O656"/>
      <c r="P656"/>
      <c r="Q656" s="765"/>
      <c r="R656" s="765"/>
      <c r="S656" s="765"/>
    </row>
    <row r="657" spans="1:19" x14ac:dyDescent="0.2">
      <c r="A657" s="13"/>
      <c r="B657" s="13"/>
      <c r="C657" s="13"/>
      <c r="D657" s="13"/>
      <c r="E657"/>
      <c r="F657"/>
      <c r="G657"/>
      <c r="H657"/>
      <c r="I657"/>
      <c r="J657"/>
      <c r="K657"/>
      <c r="L657"/>
      <c r="M657"/>
      <c r="N657" s="765"/>
      <c r="O657"/>
      <c r="P657"/>
      <c r="Q657" s="765"/>
      <c r="R657" s="765"/>
      <c r="S657" s="765"/>
    </row>
    <row r="658" spans="1:19" x14ac:dyDescent="0.2">
      <c r="A658" s="13"/>
      <c r="B658" s="13"/>
      <c r="C658" s="13"/>
      <c r="D658" s="13"/>
      <c r="E658"/>
      <c r="F658"/>
      <c r="G658"/>
      <c r="H658"/>
      <c r="I658"/>
      <c r="J658"/>
      <c r="K658"/>
      <c r="L658"/>
      <c r="M658"/>
      <c r="N658" s="765"/>
      <c r="O658"/>
      <c r="P658"/>
      <c r="Q658" s="765"/>
      <c r="R658" s="765"/>
      <c r="S658" s="765"/>
    </row>
    <row r="659" spans="1:19" x14ac:dyDescent="0.2">
      <c r="A659" s="13"/>
      <c r="B659" s="13"/>
      <c r="C659" s="13"/>
      <c r="D659" s="13"/>
      <c r="E659"/>
      <c r="F659"/>
      <c r="G659"/>
      <c r="H659"/>
      <c r="I659"/>
      <c r="J659"/>
      <c r="K659"/>
      <c r="L659"/>
      <c r="M659"/>
      <c r="N659" s="765"/>
      <c r="O659"/>
      <c r="P659"/>
      <c r="Q659" s="765"/>
      <c r="R659" s="765"/>
      <c r="S659" s="765"/>
    </row>
    <row r="660" spans="1:19" x14ac:dyDescent="0.2">
      <c r="A660" s="13"/>
      <c r="B660" s="13"/>
      <c r="C660" s="13"/>
      <c r="D660" s="13"/>
      <c r="E660"/>
      <c r="F660"/>
      <c r="G660"/>
      <c r="H660"/>
      <c r="I660"/>
      <c r="J660"/>
      <c r="K660"/>
      <c r="L660"/>
      <c r="M660"/>
      <c r="N660" s="765"/>
      <c r="O660"/>
      <c r="P660"/>
      <c r="Q660" s="765"/>
      <c r="R660" s="765"/>
      <c r="S660" s="765"/>
    </row>
    <row r="661" spans="1:19" x14ac:dyDescent="0.2">
      <c r="A661" s="13"/>
      <c r="B661" s="13"/>
      <c r="C661" s="13"/>
      <c r="D661" s="13"/>
      <c r="E661"/>
      <c r="F661"/>
      <c r="G661"/>
      <c r="H661"/>
      <c r="I661"/>
      <c r="J661"/>
      <c r="K661"/>
      <c r="L661"/>
      <c r="M661"/>
      <c r="N661" s="765"/>
      <c r="O661"/>
      <c r="P661"/>
      <c r="Q661" s="765"/>
      <c r="R661" s="765"/>
      <c r="S661" s="765"/>
    </row>
    <row r="662" spans="1:19" x14ac:dyDescent="0.2">
      <c r="A662" s="13"/>
      <c r="B662" s="13"/>
      <c r="C662" s="13"/>
      <c r="D662" s="13"/>
      <c r="E662"/>
      <c r="F662"/>
      <c r="G662"/>
      <c r="H662"/>
      <c r="I662"/>
      <c r="J662"/>
      <c r="K662"/>
      <c r="L662"/>
      <c r="M662"/>
      <c r="N662" s="765"/>
      <c r="O662"/>
      <c r="P662"/>
      <c r="Q662" s="765"/>
      <c r="R662" s="765"/>
      <c r="S662" s="765"/>
    </row>
    <row r="663" spans="1:19" x14ac:dyDescent="0.2">
      <c r="A663" s="13"/>
      <c r="B663" s="13"/>
      <c r="C663" s="13"/>
      <c r="D663" s="13"/>
      <c r="E663"/>
      <c r="F663"/>
      <c r="G663"/>
      <c r="H663"/>
      <c r="I663"/>
      <c r="J663"/>
      <c r="K663"/>
      <c r="L663"/>
      <c r="M663"/>
      <c r="N663" s="765"/>
      <c r="O663"/>
      <c r="P663"/>
      <c r="Q663" s="765"/>
      <c r="R663" s="765"/>
      <c r="S663" s="765"/>
    </row>
    <row r="664" spans="1:19" x14ac:dyDescent="0.2">
      <c r="A664" s="13"/>
      <c r="B664" s="13"/>
      <c r="C664" s="13"/>
      <c r="D664" s="13"/>
      <c r="E664"/>
      <c r="F664"/>
      <c r="G664"/>
      <c r="H664"/>
      <c r="I664"/>
      <c r="J664"/>
      <c r="K664"/>
      <c r="L664"/>
      <c r="M664"/>
      <c r="N664" s="765"/>
      <c r="O664"/>
      <c r="P664"/>
      <c r="Q664" s="765"/>
      <c r="R664" s="765"/>
      <c r="S664" s="765"/>
    </row>
    <row r="665" spans="1:19" x14ac:dyDescent="0.2">
      <c r="A665" s="13"/>
      <c r="B665" s="13"/>
      <c r="C665" s="13"/>
      <c r="D665" s="13"/>
      <c r="E665"/>
      <c r="F665"/>
      <c r="G665"/>
      <c r="H665"/>
      <c r="I665"/>
      <c r="J665"/>
      <c r="K665"/>
      <c r="L665"/>
      <c r="M665"/>
      <c r="N665" s="765"/>
      <c r="O665"/>
      <c r="P665"/>
      <c r="Q665" s="765"/>
      <c r="R665" s="765"/>
      <c r="S665" s="765"/>
    </row>
    <row r="666" spans="1:19" x14ac:dyDescent="0.2">
      <c r="A666" s="13"/>
      <c r="B666" s="13"/>
      <c r="C666" s="13"/>
      <c r="D666" s="13"/>
      <c r="E666"/>
      <c r="F666"/>
      <c r="G666"/>
      <c r="H666"/>
      <c r="I666"/>
      <c r="J666"/>
      <c r="K666"/>
      <c r="L666"/>
      <c r="M666"/>
      <c r="N666" s="765"/>
      <c r="O666"/>
      <c r="P666"/>
      <c r="Q666" s="765"/>
      <c r="R666" s="765"/>
      <c r="S666" s="765"/>
    </row>
    <row r="667" spans="1:19" x14ac:dyDescent="0.2">
      <c r="A667" s="13"/>
      <c r="B667" s="13"/>
      <c r="C667" s="13"/>
      <c r="D667" s="13"/>
      <c r="E667"/>
      <c r="F667"/>
      <c r="G667"/>
      <c r="H667"/>
      <c r="I667"/>
      <c r="J667"/>
      <c r="K667"/>
      <c r="L667"/>
      <c r="M667"/>
      <c r="N667" s="765"/>
      <c r="O667"/>
      <c r="P667"/>
      <c r="Q667" s="765"/>
      <c r="R667" s="765"/>
      <c r="S667" s="765"/>
    </row>
    <row r="668" spans="1:19" x14ac:dyDescent="0.2">
      <c r="A668" s="13"/>
      <c r="B668" s="13"/>
      <c r="C668" s="13"/>
      <c r="D668" s="13"/>
      <c r="E668"/>
      <c r="F668"/>
      <c r="G668"/>
      <c r="H668"/>
      <c r="I668"/>
      <c r="J668"/>
      <c r="K668"/>
      <c r="L668"/>
      <c r="M668"/>
      <c r="N668" s="765"/>
      <c r="O668"/>
      <c r="P668"/>
      <c r="Q668" s="765"/>
      <c r="R668" s="765"/>
      <c r="S668" s="765"/>
    </row>
    <row r="669" spans="1:19" x14ac:dyDescent="0.2">
      <c r="A669" s="13"/>
      <c r="B669" s="13"/>
      <c r="C669" s="13"/>
      <c r="D669" s="13"/>
      <c r="E669"/>
      <c r="F669"/>
      <c r="G669"/>
      <c r="H669"/>
      <c r="I669"/>
      <c r="J669"/>
      <c r="K669"/>
      <c r="L669"/>
      <c r="M669"/>
      <c r="N669" s="765"/>
      <c r="O669"/>
      <c r="P669"/>
      <c r="Q669" s="765"/>
      <c r="R669" s="765"/>
      <c r="S669" s="765"/>
    </row>
    <row r="670" spans="1:19" x14ac:dyDescent="0.2">
      <c r="A670" s="13"/>
      <c r="B670" s="13"/>
      <c r="C670" s="13"/>
      <c r="D670" s="13"/>
      <c r="E670"/>
      <c r="F670"/>
      <c r="G670"/>
      <c r="H670"/>
      <c r="I670"/>
      <c r="J670"/>
      <c r="K670"/>
      <c r="L670"/>
      <c r="M670"/>
      <c r="N670" s="765"/>
      <c r="O670"/>
      <c r="P670"/>
      <c r="Q670" s="765"/>
      <c r="R670" s="765"/>
      <c r="S670" s="765"/>
    </row>
    <row r="671" spans="1:19" x14ac:dyDescent="0.2">
      <c r="A671" s="13"/>
      <c r="B671" s="13"/>
      <c r="C671" s="13"/>
      <c r="D671" s="13"/>
      <c r="E671"/>
      <c r="F671"/>
      <c r="G671"/>
      <c r="H671"/>
      <c r="I671"/>
      <c r="J671"/>
      <c r="K671"/>
      <c r="L671"/>
      <c r="M671"/>
      <c r="N671" s="765"/>
      <c r="O671"/>
      <c r="P671"/>
      <c r="Q671" s="765"/>
      <c r="R671" s="765"/>
      <c r="S671" s="765"/>
    </row>
    <row r="672" spans="1:19" x14ac:dyDescent="0.2">
      <c r="A672" s="13"/>
      <c r="B672" s="13"/>
      <c r="C672" s="13"/>
      <c r="D672" s="13"/>
      <c r="E672"/>
      <c r="F672"/>
      <c r="G672"/>
      <c r="H672"/>
      <c r="I672"/>
      <c r="J672"/>
      <c r="K672"/>
      <c r="L672"/>
      <c r="M672"/>
      <c r="N672" s="765"/>
      <c r="O672"/>
      <c r="P672"/>
      <c r="Q672" s="765"/>
      <c r="R672" s="765"/>
      <c r="S672" s="765"/>
    </row>
    <row r="673" spans="1:19" x14ac:dyDescent="0.2">
      <c r="A673" s="13"/>
      <c r="B673" s="13"/>
      <c r="C673" s="13"/>
      <c r="D673" s="13"/>
      <c r="E673"/>
      <c r="F673"/>
      <c r="G673"/>
      <c r="H673"/>
      <c r="I673"/>
      <c r="J673"/>
      <c r="K673"/>
      <c r="L673"/>
      <c r="M673"/>
      <c r="N673" s="765"/>
      <c r="O673"/>
      <c r="P673"/>
      <c r="Q673" s="765"/>
      <c r="R673" s="765"/>
      <c r="S673" s="765"/>
    </row>
    <row r="674" spans="1:19" x14ac:dyDescent="0.2">
      <c r="A674" s="13"/>
      <c r="B674" s="13"/>
      <c r="C674" s="13"/>
      <c r="D674" s="13"/>
      <c r="E674"/>
      <c r="F674"/>
      <c r="G674"/>
      <c r="H674"/>
      <c r="I674"/>
      <c r="J674"/>
      <c r="K674"/>
      <c r="L674"/>
      <c r="M674"/>
      <c r="N674" s="765"/>
      <c r="O674"/>
      <c r="P674"/>
      <c r="Q674" s="765"/>
      <c r="R674" s="765"/>
      <c r="S674" s="765"/>
    </row>
    <row r="675" spans="1:19" x14ac:dyDescent="0.2">
      <c r="A675" s="13"/>
      <c r="B675" s="13"/>
      <c r="C675" s="13"/>
      <c r="D675" s="13"/>
      <c r="E675"/>
      <c r="F675"/>
      <c r="G675"/>
      <c r="H675"/>
      <c r="I675"/>
      <c r="J675"/>
      <c r="K675"/>
      <c r="L675"/>
      <c r="M675"/>
      <c r="N675" s="765"/>
      <c r="O675"/>
      <c r="P675"/>
      <c r="Q675" s="765"/>
      <c r="R675" s="765"/>
      <c r="S675" s="765"/>
    </row>
    <row r="676" spans="1:19" x14ac:dyDescent="0.2">
      <c r="A676" s="13"/>
      <c r="B676" s="13"/>
      <c r="C676" s="13"/>
      <c r="D676" s="13"/>
      <c r="E676"/>
      <c r="F676"/>
      <c r="G676"/>
      <c r="H676"/>
      <c r="I676"/>
      <c r="J676"/>
      <c r="K676"/>
      <c r="L676"/>
      <c r="M676"/>
      <c r="N676" s="765"/>
      <c r="O676"/>
      <c r="P676"/>
      <c r="Q676" s="765"/>
      <c r="R676" s="765"/>
      <c r="S676" s="765"/>
    </row>
    <row r="677" spans="1:19" x14ac:dyDescent="0.2">
      <c r="A677" s="13"/>
      <c r="B677" s="13"/>
      <c r="C677" s="13"/>
      <c r="D677" s="13"/>
      <c r="E677"/>
      <c r="F677"/>
      <c r="G677"/>
      <c r="H677"/>
      <c r="I677"/>
      <c r="J677"/>
      <c r="K677"/>
      <c r="L677"/>
      <c r="M677"/>
      <c r="N677" s="765"/>
      <c r="O677"/>
      <c r="P677"/>
      <c r="Q677" s="765"/>
      <c r="R677" s="765"/>
      <c r="S677" s="765"/>
    </row>
    <row r="678" spans="1:19" x14ac:dyDescent="0.2">
      <c r="A678" s="13"/>
      <c r="B678" s="13"/>
      <c r="C678" s="13"/>
      <c r="D678" s="13"/>
      <c r="E678"/>
      <c r="F678"/>
      <c r="G678"/>
      <c r="H678"/>
      <c r="I678"/>
      <c r="J678"/>
      <c r="K678"/>
      <c r="L678"/>
      <c r="M678"/>
      <c r="N678" s="765"/>
      <c r="O678"/>
      <c r="P678"/>
      <c r="Q678" s="765"/>
      <c r="R678" s="765"/>
      <c r="S678" s="765"/>
    </row>
    <row r="679" spans="1:19" x14ac:dyDescent="0.2">
      <c r="A679" s="13"/>
      <c r="B679" s="13"/>
      <c r="C679" s="13"/>
      <c r="D679" s="13"/>
      <c r="E679"/>
      <c r="F679"/>
      <c r="G679"/>
      <c r="H679"/>
      <c r="I679"/>
      <c r="J679"/>
      <c r="K679"/>
      <c r="L679"/>
      <c r="M679"/>
      <c r="N679" s="765"/>
      <c r="O679"/>
      <c r="P679"/>
      <c r="Q679" s="765"/>
      <c r="R679" s="765"/>
      <c r="S679" s="765"/>
    </row>
    <row r="680" spans="1:19" x14ac:dyDescent="0.2">
      <c r="A680" s="13"/>
      <c r="B680" s="13"/>
      <c r="C680" s="13"/>
      <c r="D680" s="13"/>
      <c r="E680"/>
      <c r="F680"/>
      <c r="G680"/>
      <c r="H680"/>
      <c r="I680"/>
      <c r="J680"/>
      <c r="K680"/>
      <c r="L680"/>
      <c r="M680"/>
      <c r="N680" s="765"/>
      <c r="O680"/>
      <c r="P680"/>
      <c r="Q680" s="765"/>
      <c r="R680" s="765"/>
      <c r="S680" s="765"/>
    </row>
    <row r="681" spans="1:19" x14ac:dyDescent="0.2">
      <c r="A681" s="13"/>
      <c r="B681" s="13"/>
      <c r="C681" s="13"/>
      <c r="D681" s="13"/>
      <c r="E681"/>
      <c r="F681"/>
      <c r="G681"/>
      <c r="H681"/>
      <c r="I681"/>
      <c r="J681"/>
      <c r="K681"/>
      <c r="L681"/>
      <c r="M681"/>
      <c r="N681" s="765"/>
      <c r="O681"/>
      <c r="P681"/>
      <c r="Q681" s="765"/>
      <c r="R681" s="765"/>
      <c r="S681" s="765"/>
    </row>
    <row r="682" spans="1:19" x14ac:dyDescent="0.2">
      <c r="A682" s="13"/>
      <c r="B682" s="13"/>
      <c r="C682" s="13"/>
      <c r="D682" s="13"/>
      <c r="E682"/>
      <c r="F682"/>
      <c r="G682"/>
      <c r="H682"/>
      <c r="I682"/>
      <c r="J682"/>
      <c r="K682"/>
      <c r="L682"/>
      <c r="M682"/>
      <c r="N682" s="765"/>
      <c r="O682"/>
      <c r="P682"/>
      <c r="Q682" s="765"/>
      <c r="R682" s="765"/>
      <c r="S682" s="765"/>
    </row>
    <row r="683" spans="1:19" x14ac:dyDescent="0.2">
      <c r="A683" s="13"/>
      <c r="B683" s="13"/>
      <c r="C683" s="13"/>
      <c r="D683" s="13"/>
      <c r="E683"/>
      <c r="F683"/>
      <c r="G683"/>
      <c r="H683"/>
      <c r="I683"/>
      <c r="J683"/>
      <c r="K683"/>
      <c r="L683"/>
      <c r="M683"/>
      <c r="N683" s="765"/>
      <c r="O683"/>
      <c r="P683"/>
      <c r="Q683" s="765"/>
      <c r="R683" s="765"/>
      <c r="S683" s="765"/>
    </row>
    <row r="684" spans="1:19" x14ac:dyDescent="0.2">
      <c r="A684" s="13"/>
      <c r="B684" s="13"/>
      <c r="C684" s="13"/>
      <c r="D684" s="13"/>
      <c r="E684"/>
      <c r="F684"/>
      <c r="G684"/>
      <c r="H684"/>
      <c r="I684"/>
      <c r="J684"/>
      <c r="K684"/>
      <c r="L684"/>
      <c r="M684"/>
      <c r="N684" s="765"/>
      <c r="O684"/>
      <c r="P684"/>
      <c r="Q684" s="765"/>
      <c r="R684" s="765"/>
      <c r="S684" s="765"/>
    </row>
    <row r="685" spans="1:19" x14ac:dyDescent="0.2">
      <c r="A685" s="13"/>
      <c r="B685" s="13"/>
      <c r="C685" s="13"/>
      <c r="D685" s="13"/>
      <c r="E685"/>
      <c r="F685"/>
      <c r="G685"/>
      <c r="H685"/>
      <c r="I685"/>
      <c r="J685"/>
      <c r="K685"/>
      <c r="L685"/>
      <c r="M685"/>
      <c r="N685" s="765"/>
      <c r="O685"/>
      <c r="P685"/>
      <c r="Q685" s="765"/>
      <c r="R685" s="765"/>
      <c r="S685" s="765"/>
    </row>
    <row r="686" spans="1:19" x14ac:dyDescent="0.2">
      <c r="A686" s="13"/>
      <c r="B686" s="13"/>
      <c r="C686" s="13"/>
      <c r="D686" s="13"/>
      <c r="E686"/>
      <c r="F686"/>
      <c r="G686"/>
      <c r="H686"/>
      <c r="I686"/>
      <c r="J686"/>
      <c r="K686"/>
      <c r="L686"/>
      <c r="M686"/>
      <c r="N686" s="765"/>
      <c r="O686"/>
      <c r="P686"/>
      <c r="Q686" s="765"/>
      <c r="R686" s="765"/>
      <c r="S686" s="765"/>
    </row>
    <row r="687" spans="1:19" x14ac:dyDescent="0.2">
      <c r="A687" s="13"/>
      <c r="B687" s="13"/>
      <c r="C687" s="13"/>
      <c r="D687" s="13"/>
      <c r="E687"/>
      <c r="F687"/>
      <c r="G687"/>
      <c r="H687"/>
      <c r="I687"/>
      <c r="J687"/>
      <c r="K687"/>
      <c r="L687"/>
      <c r="M687"/>
      <c r="N687" s="765"/>
      <c r="O687"/>
      <c r="P687"/>
      <c r="Q687" s="765"/>
      <c r="R687" s="765"/>
      <c r="S687" s="765"/>
    </row>
    <row r="688" spans="1:19" x14ac:dyDescent="0.2">
      <c r="A688" s="13"/>
      <c r="B688" s="13"/>
      <c r="C688" s="13"/>
      <c r="D688" s="13"/>
      <c r="E688"/>
      <c r="F688"/>
      <c r="G688"/>
      <c r="H688"/>
      <c r="I688"/>
      <c r="J688"/>
      <c r="K688"/>
      <c r="L688"/>
      <c r="M688"/>
      <c r="N688" s="765"/>
      <c r="O688"/>
      <c r="P688"/>
      <c r="Q688" s="765"/>
      <c r="R688" s="765"/>
      <c r="S688" s="765"/>
    </row>
    <row r="689" spans="1:19" x14ac:dyDescent="0.2">
      <c r="A689" s="13"/>
      <c r="B689" s="13"/>
      <c r="C689" s="13"/>
      <c r="D689" s="13"/>
      <c r="E689"/>
      <c r="F689"/>
      <c r="G689"/>
      <c r="H689"/>
      <c r="I689"/>
      <c r="J689"/>
      <c r="K689"/>
      <c r="L689"/>
      <c r="M689"/>
      <c r="N689" s="765"/>
      <c r="O689"/>
      <c r="P689"/>
      <c r="Q689" s="765"/>
      <c r="R689" s="765"/>
      <c r="S689" s="765"/>
    </row>
    <row r="690" spans="1:19" x14ac:dyDescent="0.2">
      <c r="A690" s="13"/>
      <c r="B690" s="13"/>
      <c r="C690" s="13"/>
      <c r="D690" s="13"/>
      <c r="E690"/>
      <c r="F690"/>
      <c r="G690"/>
      <c r="H690"/>
      <c r="I690"/>
      <c r="J690"/>
      <c r="K690"/>
      <c r="L690"/>
      <c r="M690"/>
      <c r="N690" s="765"/>
      <c r="O690"/>
      <c r="P690"/>
      <c r="Q690" s="765"/>
      <c r="R690" s="765"/>
      <c r="S690" s="765"/>
    </row>
    <row r="691" spans="1:19" x14ac:dyDescent="0.2">
      <c r="A691" s="13"/>
      <c r="B691" s="13"/>
      <c r="C691" s="13"/>
      <c r="D691" s="13"/>
      <c r="E691"/>
      <c r="F691"/>
      <c r="G691"/>
      <c r="H691"/>
      <c r="I691"/>
      <c r="J691"/>
      <c r="K691"/>
      <c r="L691"/>
      <c r="M691"/>
      <c r="N691" s="765"/>
      <c r="O691"/>
      <c r="P691"/>
      <c r="Q691" s="765"/>
      <c r="R691" s="765"/>
      <c r="S691" s="765"/>
    </row>
    <row r="692" spans="1:19" x14ac:dyDescent="0.2">
      <c r="A692" s="13"/>
      <c r="B692" s="13"/>
      <c r="C692" s="13"/>
      <c r="D692" s="13"/>
      <c r="E692"/>
      <c r="F692"/>
      <c r="G692"/>
      <c r="H692"/>
      <c r="I692"/>
      <c r="J692"/>
      <c r="K692"/>
      <c r="L692"/>
      <c r="M692"/>
      <c r="N692" s="765"/>
      <c r="O692"/>
      <c r="P692"/>
      <c r="Q692" s="765"/>
      <c r="R692" s="765"/>
      <c r="S692" s="765"/>
    </row>
    <row r="693" spans="1:19" x14ac:dyDescent="0.2">
      <c r="A693" s="13"/>
      <c r="B693" s="13"/>
      <c r="C693" s="13"/>
      <c r="D693" s="13"/>
      <c r="E693"/>
      <c r="F693"/>
      <c r="G693"/>
      <c r="H693"/>
      <c r="I693"/>
      <c r="J693"/>
      <c r="K693"/>
      <c r="L693"/>
      <c r="M693"/>
      <c r="N693" s="765"/>
      <c r="O693"/>
      <c r="P693"/>
      <c r="Q693" s="765"/>
      <c r="R693" s="765"/>
      <c r="S693" s="765"/>
    </row>
    <row r="694" spans="1:19" x14ac:dyDescent="0.2">
      <c r="A694" s="13"/>
      <c r="B694" s="13"/>
      <c r="C694" s="13"/>
      <c r="D694" s="13"/>
      <c r="E694"/>
      <c r="F694"/>
      <c r="G694"/>
      <c r="H694"/>
      <c r="I694"/>
      <c r="J694"/>
      <c r="K694"/>
      <c r="L694"/>
      <c r="M694"/>
      <c r="N694" s="765"/>
      <c r="O694"/>
      <c r="P694"/>
      <c r="Q694" s="765"/>
      <c r="R694" s="765"/>
      <c r="S694" s="765"/>
    </row>
    <row r="695" spans="1:19" x14ac:dyDescent="0.2">
      <c r="A695" s="13"/>
      <c r="B695" s="13"/>
      <c r="C695" s="13"/>
      <c r="D695" s="13"/>
      <c r="E695"/>
      <c r="F695"/>
      <c r="G695"/>
      <c r="H695"/>
      <c r="I695"/>
      <c r="J695"/>
      <c r="K695"/>
      <c r="L695"/>
      <c r="M695"/>
      <c r="N695" s="765"/>
      <c r="O695"/>
      <c r="P695"/>
      <c r="Q695" s="765"/>
      <c r="R695" s="765"/>
      <c r="S695" s="765"/>
    </row>
    <row r="696" spans="1:19" x14ac:dyDescent="0.2">
      <c r="A696" s="13"/>
      <c r="B696" s="13"/>
      <c r="C696" s="13"/>
      <c r="D696" s="13"/>
      <c r="E696"/>
      <c r="F696"/>
      <c r="G696"/>
      <c r="H696"/>
      <c r="I696"/>
      <c r="J696"/>
      <c r="K696"/>
      <c r="L696"/>
      <c r="M696"/>
      <c r="N696" s="765"/>
      <c r="O696"/>
      <c r="P696"/>
      <c r="Q696" s="765"/>
      <c r="R696" s="765"/>
      <c r="S696" s="765"/>
    </row>
    <row r="697" spans="1:19" x14ac:dyDescent="0.2">
      <c r="A697" s="13"/>
      <c r="B697" s="13"/>
      <c r="C697" s="13"/>
      <c r="D697" s="13"/>
      <c r="E697"/>
      <c r="F697"/>
      <c r="G697"/>
      <c r="H697"/>
      <c r="I697"/>
      <c r="J697"/>
      <c r="K697"/>
      <c r="L697"/>
      <c r="M697"/>
      <c r="N697" s="765"/>
      <c r="O697"/>
      <c r="P697"/>
      <c r="Q697" s="765"/>
      <c r="R697" s="765"/>
      <c r="S697" s="765"/>
    </row>
    <row r="698" spans="1:19" x14ac:dyDescent="0.2">
      <c r="A698" s="13"/>
      <c r="B698" s="13"/>
      <c r="C698" s="13"/>
      <c r="D698" s="13"/>
      <c r="E698"/>
      <c r="F698"/>
      <c r="G698"/>
      <c r="H698"/>
      <c r="I698"/>
      <c r="J698"/>
      <c r="K698"/>
      <c r="L698"/>
      <c r="M698"/>
      <c r="N698" s="765"/>
      <c r="O698"/>
      <c r="P698"/>
      <c r="Q698" s="765"/>
      <c r="R698" s="765"/>
      <c r="S698" s="765"/>
    </row>
    <row r="699" spans="1:19" x14ac:dyDescent="0.2">
      <c r="A699" s="13"/>
      <c r="B699" s="13"/>
      <c r="C699" s="13"/>
      <c r="D699" s="13"/>
      <c r="E699"/>
      <c r="F699"/>
      <c r="G699"/>
      <c r="H699"/>
      <c r="I699"/>
      <c r="J699"/>
      <c r="K699"/>
      <c r="L699"/>
      <c r="M699"/>
      <c r="N699" s="765"/>
      <c r="O699"/>
      <c r="P699"/>
      <c r="Q699" s="765"/>
      <c r="R699" s="765"/>
      <c r="S699" s="765"/>
    </row>
    <row r="700" spans="1:19" x14ac:dyDescent="0.2">
      <c r="A700" s="13"/>
      <c r="B700" s="13"/>
      <c r="C700" s="13"/>
      <c r="D700" s="13"/>
      <c r="E700"/>
      <c r="F700"/>
      <c r="G700"/>
      <c r="H700"/>
      <c r="I700"/>
      <c r="J700"/>
      <c r="K700"/>
      <c r="L700"/>
      <c r="M700"/>
      <c r="N700" s="765"/>
      <c r="O700"/>
      <c r="P700"/>
      <c r="Q700" s="765"/>
      <c r="R700" s="765"/>
      <c r="S700" s="765"/>
    </row>
    <row r="701" spans="1:19" x14ac:dyDescent="0.2">
      <c r="A701" s="13"/>
      <c r="B701" s="13"/>
      <c r="C701" s="13"/>
      <c r="D701" s="13"/>
      <c r="E701"/>
      <c r="F701"/>
      <c r="G701"/>
      <c r="H701"/>
      <c r="I701"/>
      <c r="J701"/>
      <c r="K701"/>
      <c r="L701"/>
      <c r="M701"/>
      <c r="N701" s="765"/>
      <c r="O701"/>
      <c r="P701"/>
      <c r="Q701" s="765"/>
      <c r="R701" s="765"/>
      <c r="S701" s="765"/>
    </row>
    <row r="702" spans="1:19" x14ac:dyDescent="0.2">
      <c r="A702" s="13"/>
      <c r="B702" s="13"/>
      <c r="C702" s="13"/>
      <c r="D702" s="13"/>
      <c r="E702"/>
      <c r="F702"/>
      <c r="G702"/>
      <c r="H702"/>
      <c r="I702"/>
      <c r="J702"/>
      <c r="K702"/>
      <c r="L702"/>
      <c r="M702"/>
      <c r="N702" s="765"/>
      <c r="O702"/>
      <c r="P702"/>
      <c r="Q702" s="765"/>
      <c r="R702" s="765"/>
      <c r="S702" s="765"/>
    </row>
    <row r="703" spans="1:19" x14ac:dyDescent="0.2">
      <c r="A703" s="13"/>
      <c r="B703" s="13"/>
      <c r="C703" s="13"/>
      <c r="D703" s="13"/>
      <c r="E703"/>
      <c r="F703"/>
      <c r="G703"/>
      <c r="H703"/>
      <c r="I703"/>
      <c r="J703"/>
      <c r="K703"/>
      <c r="L703"/>
      <c r="M703"/>
      <c r="N703" s="765"/>
      <c r="O703"/>
      <c r="P703"/>
      <c r="Q703" s="765"/>
      <c r="R703" s="765"/>
      <c r="S703" s="765"/>
    </row>
    <row r="704" spans="1:19" x14ac:dyDescent="0.2">
      <c r="A704" s="13"/>
      <c r="B704" s="13"/>
      <c r="C704" s="13"/>
      <c r="D704" s="13"/>
      <c r="E704"/>
      <c r="F704"/>
      <c r="G704"/>
      <c r="H704"/>
      <c r="I704"/>
      <c r="J704"/>
      <c r="K704"/>
      <c r="L704"/>
      <c r="M704"/>
      <c r="N704" s="765"/>
      <c r="O704"/>
      <c r="P704"/>
      <c r="Q704" s="765"/>
      <c r="R704" s="765"/>
      <c r="S704" s="765"/>
    </row>
    <row r="705" spans="1:19" x14ac:dyDescent="0.2">
      <c r="A705" s="13"/>
      <c r="B705" s="13"/>
      <c r="C705" s="13"/>
      <c r="D705" s="13"/>
      <c r="E705"/>
      <c r="F705"/>
      <c r="G705"/>
      <c r="H705"/>
      <c r="I705"/>
      <c r="J705"/>
      <c r="K705"/>
      <c r="L705"/>
      <c r="M705"/>
      <c r="N705" s="765"/>
      <c r="O705"/>
      <c r="P705"/>
      <c r="Q705" s="765"/>
      <c r="R705" s="765"/>
      <c r="S705" s="765"/>
    </row>
    <row r="706" spans="1:19" x14ac:dyDescent="0.2">
      <c r="A706" s="13"/>
      <c r="B706" s="13"/>
      <c r="C706" s="13"/>
      <c r="D706" s="13"/>
      <c r="E706"/>
      <c r="F706"/>
      <c r="G706"/>
      <c r="H706"/>
      <c r="I706"/>
      <c r="J706"/>
      <c r="K706"/>
      <c r="L706"/>
      <c r="M706"/>
      <c r="N706" s="765"/>
      <c r="O706"/>
      <c r="P706"/>
      <c r="Q706" s="765"/>
      <c r="R706" s="765"/>
      <c r="S706" s="765"/>
    </row>
    <row r="707" spans="1:19" x14ac:dyDescent="0.2">
      <c r="A707" s="13"/>
      <c r="B707" s="13"/>
      <c r="C707" s="13"/>
      <c r="D707" s="13"/>
      <c r="E707"/>
      <c r="F707"/>
      <c r="G707"/>
      <c r="H707"/>
      <c r="I707"/>
      <c r="J707"/>
      <c r="K707"/>
      <c r="L707"/>
      <c r="M707"/>
      <c r="N707" s="765"/>
      <c r="O707"/>
      <c r="P707"/>
      <c r="Q707" s="765"/>
      <c r="R707" s="765"/>
      <c r="S707" s="765"/>
    </row>
    <row r="708" spans="1:19" x14ac:dyDescent="0.2">
      <c r="A708" s="13"/>
      <c r="B708" s="13"/>
      <c r="C708" s="13"/>
      <c r="D708" s="13"/>
      <c r="E708"/>
      <c r="F708"/>
      <c r="G708"/>
      <c r="H708"/>
      <c r="I708"/>
      <c r="J708"/>
      <c r="K708"/>
      <c r="L708"/>
      <c r="M708"/>
      <c r="N708" s="765"/>
      <c r="O708"/>
      <c r="P708"/>
      <c r="Q708" s="765"/>
      <c r="R708" s="765"/>
      <c r="S708" s="765"/>
    </row>
    <row r="709" spans="1:19" x14ac:dyDescent="0.2">
      <c r="A709" s="13"/>
      <c r="B709" s="13"/>
      <c r="C709" s="13"/>
      <c r="D709" s="13"/>
      <c r="E709"/>
      <c r="F709"/>
      <c r="G709"/>
      <c r="H709"/>
      <c r="I709"/>
      <c r="J709"/>
      <c r="K709"/>
      <c r="L709"/>
      <c r="M709"/>
      <c r="N709" s="765"/>
      <c r="O709"/>
      <c r="P709"/>
      <c r="Q709" s="765"/>
      <c r="R709" s="765"/>
      <c r="S709" s="765"/>
    </row>
    <row r="710" spans="1:19" x14ac:dyDescent="0.2">
      <c r="A710" s="13"/>
      <c r="B710" s="13"/>
      <c r="C710" s="13"/>
      <c r="D710" s="13"/>
      <c r="E710"/>
      <c r="F710"/>
      <c r="G710"/>
      <c r="H710"/>
      <c r="I710"/>
      <c r="J710"/>
      <c r="K710"/>
      <c r="L710"/>
      <c r="M710"/>
      <c r="N710" s="765"/>
      <c r="O710"/>
      <c r="P710"/>
      <c r="Q710" s="765"/>
      <c r="R710" s="765"/>
      <c r="S710" s="765"/>
    </row>
    <row r="711" spans="1:19" x14ac:dyDescent="0.2">
      <c r="A711" s="13"/>
      <c r="B711" s="13"/>
      <c r="C711" s="13"/>
      <c r="D711" s="13"/>
      <c r="E711"/>
      <c r="F711"/>
      <c r="G711"/>
      <c r="H711"/>
      <c r="I711"/>
      <c r="J711"/>
      <c r="K711"/>
      <c r="L711"/>
      <c r="M711"/>
      <c r="N711" s="765"/>
      <c r="O711"/>
      <c r="P711"/>
      <c r="Q711" s="765"/>
      <c r="R711" s="765"/>
      <c r="S711" s="765"/>
    </row>
    <row r="712" spans="1:19" x14ac:dyDescent="0.2">
      <c r="A712" s="13"/>
      <c r="B712" s="13"/>
      <c r="C712" s="13"/>
      <c r="D712" s="13"/>
      <c r="E712"/>
      <c r="F712"/>
      <c r="G712"/>
      <c r="H712"/>
      <c r="I712"/>
      <c r="J712"/>
      <c r="K712"/>
      <c r="L712"/>
      <c r="M712"/>
      <c r="N712" s="765"/>
      <c r="O712"/>
      <c r="P712"/>
      <c r="Q712" s="765"/>
      <c r="R712" s="765"/>
      <c r="S712" s="765"/>
    </row>
    <row r="713" spans="1:19" x14ac:dyDescent="0.2">
      <c r="A713" s="13"/>
      <c r="B713" s="13"/>
      <c r="C713" s="13"/>
      <c r="D713" s="13"/>
      <c r="E713"/>
      <c r="F713"/>
      <c r="G713"/>
      <c r="H713"/>
      <c r="I713"/>
      <c r="J713"/>
      <c r="K713"/>
      <c r="L713"/>
      <c r="M713"/>
      <c r="N713" s="765"/>
      <c r="O713"/>
      <c r="P713"/>
      <c r="Q713" s="765"/>
      <c r="R713" s="765"/>
      <c r="S713" s="765"/>
    </row>
    <row r="714" spans="1:19" x14ac:dyDescent="0.2">
      <c r="A714" s="13"/>
      <c r="B714" s="13"/>
      <c r="C714" s="13"/>
      <c r="D714" s="13"/>
      <c r="E714"/>
      <c r="F714"/>
      <c r="G714"/>
      <c r="H714"/>
      <c r="I714"/>
      <c r="J714"/>
      <c r="K714"/>
      <c r="L714"/>
      <c r="M714"/>
      <c r="N714" s="765"/>
      <c r="O714"/>
      <c r="P714"/>
      <c r="Q714" s="765"/>
      <c r="R714" s="765"/>
      <c r="S714" s="765"/>
    </row>
    <row r="715" spans="1:19" x14ac:dyDescent="0.2">
      <c r="A715" s="13"/>
      <c r="B715" s="13"/>
      <c r="C715" s="13"/>
      <c r="D715" s="13"/>
      <c r="E715"/>
      <c r="F715"/>
      <c r="G715"/>
      <c r="H715"/>
      <c r="I715"/>
      <c r="J715"/>
      <c r="K715"/>
      <c r="L715"/>
      <c r="M715"/>
      <c r="N715" s="765"/>
      <c r="O715"/>
      <c r="P715"/>
      <c r="Q715" s="765"/>
      <c r="R715" s="765"/>
      <c r="S715" s="765"/>
    </row>
    <row r="716" spans="1:19" x14ac:dyDescent="0.2">
      <c r="A716" s="13"/>
      <c r="B716" s="13"/>
      <c r="C716" s="13"/>
      <c r="D716" s="13"/>
      <c r="E716"/>
      <c r="F716"/>
      <c r="G716"/>
      <c r="H716"/>
      <c r="I716"/>
      <c r="J716"/>
      <c r="K716"/>
      <c r="L716"/>
      <c r="M716"/>
      <c r="N716" s="765"/>
      <c r="O716"/>
      <c r="P716"/>
      <c r="Q716" s="765"/>
      <c r="R716" s="765"/>
      <c r="S716" s="765"/>
    </row>
    <row r="717" spans="1:19" x14ac:dyDescent="0.2">
      <c r="A717" s="13"/>
      <c r="B717" s="13"/>
      <c r="C717" s="13"/>
      <c r="D717" s="13"/>
      <c r="E717"/>
      <c r="F717"/>
      <c r="G717"/>
      <c r="H717"/>
      <c r="I717"/>
      <c r="J717"/>
      <c r="K717"/>
      <c r="L717"/>
      <c r="M717"/>
      <c r="N717" s="765"/>
      <c r="O717"/>
      <c r="P717"/>
      <c r="Q717" s="765"/>
      <c r="R717" s="765"/>
      <c r="S717" s="765"/>
    </row>
    <row r="718" spans="1:19" x14ac:dyDescent="0.2">
      <c r="A718" s="13"/>
      <c r="B718" s="13"/>
      <c r="C718" s="13"/>
      <c r="D718" s="13"/>
      <c r="E718"/>
      <c r="F718"/>
      <c r="G718"/>
      <c r="H718"/>
      <c r="I718"/>
      <c r="J718"/>
      <c r="K718"/>
      <c r="L718"/>
      <c r="M718"/>
      <c r="N718" s="765"/>
      <c r="O718"/>
      <c r="P718"/>
      <c r="Q718" s="765"/>
      <c r="R718" s="765"/>
      <c r="S718" s="765"/>
    </row>
    <row r="719" spans="1:19" x14ac:dyDescent="0.2">
      <c r="A719" s="13"/>
      <c r="B719" s="13"/>
      <c r="C719" s="13"/>
      <c r="D719" s="13"/>
      <c r="E719"/>
      <c r="F719"/>
      <c r="G719"/>
      <c r="H719"/>
      <c r="I719"/>
      <c r="J719"/>
      <c r="K719"/>
      <c r="L719"/>
      <c r="M719"/>
      <c r="N719" s="765"/>
      <c r="O719"/>
      <c r="P719"/>
      <c r="Q719" s="765"/>
      <c r="R719" s="765"/>
      <c r="S719" s="765"/>
    </row>
    <row r="720" spans="1:19" x14ac:dyDescent="0.2">
      <c r="A720" s="13"/>
      <c r="B720" s="13"/>
      <c r="C720" s="13"/>
      <c r="D720" s="13"/>
      <c r="E720"/>
      <c r="F720"/>
      <c r="G720"/>
      <c r="H720"/>
      <c r="I720"/>
      <c r="J720"/>
      <c r="K720"/>
      <c r="L720"/>
      <c r="M720"/>
      <c r="N720" s="765"/>
      <c r="O720"/>
      <c r="P720"/>
      <c r="Q720" s="765"/>
      <c r="R720" s="765"/>
      <c r="S720" s="765"/>
    </row>
    <row r="721" spans="1:19" x14ac:dyDescent="0.2">
      <c r="A721" s="13"/>
      <c r="B721" s="13"/>
      <c r="C721" s="13"/>
      <c r="D721" s="13"/>
      <c r="E721"/>
      <c r="F721"/>
      <c r="G721"/>
      <c r="H721"/>
      <c r="I721"/>
      <c r="J721"/>
      <c r="K721"/>
      <c r="L721"/>
      <c r="M721"/>
      <c r="N721" s="765"/>
      <c r="O721"/>
      <c r="P721"/>
      <c r="Q721" s="765"/>
      <c r="R721" s="765"/>
      <c r="S721" s="765"/>
    </row>
    <row r="722" spans="1:19" x14ac:dyDescent="0.2">
      <c r="A722" s="13"/>
      <c r="B722" s="13"/>
      <c r="C722" s="13"/>
      <c r="D722" s="13"/>
      <c r="E722"/>
      <c r="F722"/>
      <c r="G722"/>
      <c r="H722"/>
      <c r="I722"/>
      <c r="J722"/>
      <c r="K722"/>
      <c r="L722"/>
      <c r="M722"/>
      <c r="N722" s="765"/>
      <c r="O722"/>
      <c r="P722"/>
      <c r="Q722" s="765"/>
      <c r="R722" s="765"/>
      <c r="S722" s="765"/>
    </row>
    <row r="723" spans="1:19" x14ac:dyDescent="0.2">
      <c r="A723" s="13"/>
      <c r="B723" s="13"/>
      <c r="C723" s="13"/>
      <c r="D723" s="13"/>
      <c r="E723"/>
      <c r="F723"/>
      <c r="G723"/>
      <c r="H723"/>
      <c r="I723"/>
      <c r="J723"/>
      <c r="K723"/>
      <c r="L723"/>
      <c r="M723"/>
      <c r="N723" s="765"/>
      <c r="O723"/>
      <c r="P723"/>
      <c r="Q723" s="765"/>
      <c r="R723" s="765"/>
      <c r="S723" s="765"/>
    </row>
    <row r="724" spans="1:19" x14ac:dyDescent="0.2">
      <c r="A724" s="13"/>
      <c r="B724" s="13"/>
      <c r="C724" s="13"/>
      <c r="D724" s="13"/>
      <c r="E724"/>
      <c r="F724"/>
      <c r="G724"/>
      <c r="H724"/>
      <c r="I724"/>
      <c r="J724"/>
      <c r="K724"/>
      <c r="L724"/>
      <c r="M724"/>
      <c r="N724" s="765"/>
      <c r="O724"/>
      <c r="P724"/>
      <c r="Q724" s="765"/>
      <c r="R724" s="765"/>
      <c r="S724" s="765"/>
    </row>
    <row r="725" spans="1:19" x14ac:dyDescent="0.2">
      <c r="A725" s="13"/>
      <c r="B725" s="13"/>
      <c r="C725" s="13"/>
      <c r="D725" s="13"/>
      <c r="E725"/>
      <c r="F725"/>
      <c r="G725"/>
      <c r="H725"/>
      <c r="I725"/>
      <c r="J725"/>
      <c r="K725"/>
      <c r="L725"/>
      <c r="M725"/>
      <c r="N725" s="765"/>
      <c r="O725"/>
      <c r="P725"/>
      <c r="Q725" s="765"/>
      <c r="R725" s="765"/>
      <c r="S725" s="765"/>
    </row>
    <row r="726" spans="1:19" x14ac:dyDescent="0.2">
      <c r="A726" s="13"/>
      <c r="B726" s="13"/>
      <c r="C726" s="13"/>
      <c r="D726" s="13"/>
      <c r="E726"/>
      <c r="F726"/>
      <c r="G726"/>
      <c r="H726"/>
      <c r="I726"/>
      <c r="J726"/>
      <c r="K726"/>
      <c r="L726"/>
      <c r="M726"/>
      <c r="N726" s="765"/>
      <c r="O726"/>
      <c r="P726"/>
      <c r="Q726" s="765"/>
      <c r="R726" s="765"/>
      <c r="S726" s="765"/>
    </row>
    <row r="727" spans="1:19" x14ac:dyDescent="0.2">
      <c r="A727" s="13"/>
      <c r="B727" s="13"/>
      <c r="C727" s="13"/>
      <c r="D727" s="13"/>
      <c r="E727"/>
      <c r="F727"/>
      <c r="G727"/>
      <c r="H727"/>
      <c r="I727"/>
      <c r="J727"/>
      <c r="K727"/>
      <c r="L727"/>
      <c r="M727"/>
      <c r="N727" s="765"/>
      <c r="O727"/>
      <c r="P727"/>
      <c r="Q727" s="765"/>
      <c r="R727" s="765"/>
      <c r="S727" s="765"/>
    </row>
    <row r="728" spans="1:19" x14ac:dyDescent="0.2">
      <c r="A728" s="13"/>
      <c r="B728" s="13"/>
      <c r="C728" s="13"/>
      <c r="D728" s="13"/>
      <c r="E728"/>
      <c r="F728"/>
      <c r="G728"/>
      <c r="H728"/>
      <c r="I728"/>
      <c r="J728"/>
      <c r="K728"/>
      <c r="L728"/>
      <c r="M728"/>
      <c r="N728" s="765"/>
      <c r="O728"/>
      <c r="P728"/>
      <c r="Q728" s="765"/>
      <c r="R728" s="765"/>
      <c r="S728" s="765"/>
    </row>
    <row r="729" spans="1:19" x14ac:dyDescent="0.2">
      <c r="A729" s="13"/>
      <c r="B729" s="13"/>
      <c r="C729" s="13"/>
      <c r="D729" s="13"/>
      <c r="E729"/>
      <c r="F729"/>
      <c r="G729"/>
      <c r="H729"/>
      <c r="I729"/>
      <c r="J729"/>
      <c r="K729"/>
      <c r="L729"/>
      <c r="M729"/>
      <c r="N729" s="765"/>
      <c r="O729"/>
      <c r="P729"/>
      <c r="Q729" s="765"/>
      <c r="R729" s="765"/>
      <c r="S729" s="765"/>
    </row>
    <row r="730" spans="1:19" x14ac:dyDescent="0.2">
      <c r="A730" s="13"/>
      <c r="B730" s="13"/>
      <c r="C730" s="13"/>
      <c r="D730" s="13"/>
      <c r="E730"/>
      <c r="F730"/>
      <c r="G730"/>
      <c r="H730"/>
      <c r="I730"/>
      <c r="J730"/>
      <c r="K730"/>
      <c r="L730"/>
      <c r="M730"/>
      <c r="N730" s="765"/>
      <c r="O730"/>
      <c r="P730"/>
      <c r="Q730" s="765"/>
      <c r="R730" s="765"/>
      <c r="S730" s="765"/>
    </row>
    <row r="731" spans="1:19" x14ac:dyDescent="0.2">
      <c r="A731" s="13"/>
      <c r="B731" s="13"/>
      <c r="C731" s="13"/>
      <c r="D731" s="13"/>
      <c r="E731"/>
      <c r="F731"/>
      <c r="G731"/>
      <c r="H731"/>
      <c r="I731"/>
      <c r="J731"/>
      <c r="K731"/>
      <c r="L731"/>
      <c r="M731"/>
      <c r="N731" s="765"/>
      <c r="O731"/>
      <c r="P731"/>
      <c r="Q731" s="765"/>
      <c r="R731" s="765"/>
      <c r="S731" s="765"/>
    </row>
    <row r="732" spans="1:19" x14ac:dyDescent="0.2">
      <c r="A732" s="13"/>
      <c r="B732" s="13"/>
      <c r="C732" s="13"/>
      <c r="D732" s="13"/>
      <c r="E732"/>
      <c r="F732"/>
      <c r="G732"/>
      <c r="H732"/>
      <c r="I732"/>
      <c r="J732"/>
      <c r="K732"/>
      <c r="L732"/>
      <c r="M732"/>
      <c r="N732" s="765"/>
      <c r="O732"/>
      <c r="P732"/>
      <c r="Q732" s="765"/>
      <c r="R732" s="765"/>
      <c r="S732" s="765"/>
    </row>
    <row r="733" spans="1:19" x14ac:dyDescent="0.2">
      <c r="A733" s="13"/>
      <c r="B733" s="13"/>
      <c r="C733" s="13"/>
      <c r="D733" s="13"/>
      <c r="E733"/>
      <c r="F733"/>
      <c r="G733"/>
      <c r="H733"/>
      <c r="I733"/>
      <c r="J733"/>
      <c r="K733"/>
      <c r="L733"/>
      <c r="M733"/>
      <c r="N733" s="765"/>
      <c r="O733"/>
      <c r="P733"/>
      <c r="Q733" s="765"/>
      <c r="R733" s="765"/>
      <c r="S733" s="765"/>
    </row>
    <row r="734" spans="1:19" x14ac:dyDescent="0.2">
      <c r="A734" s="13"/>
      <c r="B734" s="13"/>
      <c r="C734" s="13"/>
      <c r="D734" s="13"/>
      <c r="E734"/>
      <c r="F734"/>
      <c r="G734"/>
      <c r="H734"/>
      <c r="I734"/>
      <c r="J734"/>
      <c r="K734"/>
      <c r="L734"/>
      <c r="M734"/>
      <c r="N734" s="765"/>
      <c r="O734"/>
      <c r="P734"/>
      <c r="Q734" s="765"/>
      <c r="R734" s="765"/>
      <c r="S734" s="765"/>
    </row>
    <row r="735" spans="1:19" x14ac:dyDescent="0.2">
      <c r="A735" s="13"/>
      <c r="B735" s="13"/>
      <c r="C735" s="13"/>
      <c r="D735" s="13"/>
      <c r="E735"/>
      <c r="F735"/>
      <c r="G735"/>
      <c r="H735"/>
      <c r="I735"/>
      <c r="J735"/>
      <c r="K735"/>
      <c r="L735"/>
      <c r="M735"/>
      <c r="N735" s="765"/>
      <c r="O735"/>
      <c r="P735"/>
      <c r="Q735" s="765"/>
      <c r="R735" s="765"/>
      <c r="S735" s="765"/>
    </row>
    <row r="736" spans="1:19" x14ac:dyDescent="0.2">
      <c r="A736" s="13"/>
      <c r="B736" s="13"/>
      <c r="C736" s="13"/>
      <c r="D736" s="13"/>
      <c r="E736"/>
      <c r="F736"/>
      <c r="G736"/>
      <c r="H736"/>
      <c r="I736"/>
      <c r="J736"/>
      <c r="K736"/>
      <c r="L736"/>
      <c r="M736"/>
      <c r="N736" s="765"/>
      <c r="O736"/>
      <c r="P736"/>
      <c r="Q736" s="765"/>
      <c r="R736" s="765"/>
      <c r="S736" s="765"/>
    </row>
    <row r="737" spans="1:19" x14ac:dyDescent="0.2">
      <c r="A737" s="13"/>
      <c r="B737" s="13"/>
      <c r="C737" s="13"/>
      <c r="D737" s="13"/>
      <c r="E737"/>
      <c r="F737"/>
      <c r="G737"/>
      <c r="H737"/>
      <c r="I737"/>
      <c r="J737"/>
      <c r="K737"/>
      <c r="L737"/>
      <c r="M737"/>
      <c r="N737" s="765"/>
      <c r="O737"/>
      <c r="P737"/>
      <c r="Q737" s="765"/>
      <c r="R737" s="765"/>
      <c r="S737" s="765"/>
    </row>
    <row r="738" spans="1:19" x14ac:dyDescent="0.2">
      <c r="A738" s="13"/>
      <c r="B738" s="13"/>
      <c r="C738" s="13"/>
      <c r="D738" s="13"/>
      <c r="E738"/>
      <c r="F738"/>
      <c r="G738"/>
      <c r="H738"/>
      <c r="I738"/>
      <c r="J738"/>
      <c r="K738"/>
      <c r="L738"/>
      <c r="M738"/>
      <c r="N738" s="765"/>
      <c r="O738"/>
      <c r="P738"/>
      <c r="Q738" s="765"/>
      <c r="R738" s="765"/>
      <c r="S738" s="765"/>
    </row>
    <row r="739" spans="1:19" x14ac:dyDescent="0.2">
      <c r="A739" s="13"/>
      <c r="B739" s="13"/>
      <c r="C739" s="13"/>
      <c r="D739" s="13"/>
      <c r="E739"/>
      <c r="F739"/>
      <c r="G739"/>
      <c r="H739"/>
      <c r="I739"/>
      <c r="J739"/>
      <c r="K739"/>
      <c r="L739"/>
      <c r="M739"/>
      <c r="N739" s="765"/>
      <c r="O739"/>
      <c r="P739"/>
      <c r="Q739" s="765"/>
      <c r="R739" s="765"/>
      <c r="S739" s="765"/>
    </row>
    <row r="740" spans="1:19" x14ac:dyDescent="0.2">
      <c r="A740" s="13"/>
      <c r="B740" s="13"/>
      <c r="C740" s="13"/>
      <c r="D740" s="13"/>
      <c r="E740"/>
      <c r="F740"/>
      <c r="G740"/>
      <c r="H740"/>
      <c r="I740"/>
      <c r="J740"/>
      <c r="K740"/>
      <c r="L740"/>
      <c r="M740"/>
      <c r="N740" s="765"/>
      <c r="O740"/>
      <c r="P740"/>
      <c r="Q740" s="765"/>
      <c r="R740" s="765"/>
      <c r="S740" s="765"/>
    </row>
    <row r="741" spans="1:19" x14ac:dyDescent="0.2">
      <c r="A741" s="13"/>
      <c r="B741" s="13"/>
      <c r="C741" s="13"/>
      <c r="D741" s="13"/>
      <c r="E741"/>
      <c r="F741"/>
      <c r="G741"/>
      <c r="H741"/>
      <c r="I741"/>
      <c r="J741"/>
      <c r="K741"/>
      <c r="L741"/>
      <c r="M741"/>
      <c r="N741" s="765"/>
      <c r="O741"/>
      <c r="P741"/>
      <c r="Q741" s="765"/>
      <c r="R741" s="765"/>
      <c r="S741" s="765"/>
    </row>
    <row r="742" spans="1:19" x14ac:dyDescent="0.2">
      <c r="A742" s="13"/>
      <c r="B742" s="13"/>
      <c r="C742" s="13"/>
      <c r="D742" s="13"/>
      <c r="E742"/>
      <c r="F742"/>
      <c r="G742"/>
      <c r="H742"/>
      <c r="I742"/>
      <c r="J742"/>
      <c r="K742"/>
      <c r="L742"/>
      <c r="M742"/>
      <c r="N742" s="765"/>
      <c r="O742"/>
      <c r="P742"/>
      <c r="Q742" s="765"/>
      <c r="R742" s="765"/>
      <c r="S742" s="765"/>
    </row>
    <row r="743" spans="1:19" x14ac:dyDescent="0.2">
      <c r="A743" s="13"/>
      <c r="B743" s="13"/>
      <c r="C743" s="13"/>
      <c r="D743" s="13"/>
      <c r="E743"/>
      <c r="F743"/>
      <c r="G743"/>
      <c r="H743"/>
      <c r="I743"/>
      <c r="J743"/>
      <c r="K743"/>
      <c r="L743"/>
      <c r="M743"/>
      <c r="N743" s="765"/>
      <c r="O743"/>
      <c r="P743"/>
      <c r="Q743" s="765"/>
      <c r="R743" s="765"/>
      <c r="S743" s="765"/>
    </row>
    <row r="744" spans="1:19" x14ac:dyDescent="0.2">
      <c r="A744" s="13"/>
      <c r="B744" s="13"/>
      <c r="C744" s="13"/>
      <c r="D744" s="13"/>
      <c r="E744"/>
      <c r="F744"/>
      <c r="G744"/>
      <c r="H744"/>
      <c r="I744"/>
      <c r="J744"/>
      <c r="K744"/>
      <c r="L744"/>
      <c r="M744"/>
      <c r="N744" s="765"/>
      <c r="O744"/>
      <c r="P744"/>
      <c r="Q744" s="765"/>
      <c r="R744" s="765"/>
      <c r="S744" s="765"/>
    </row>
    <row r="745" spans="1:19" x14ac:dyDescent="0.2">
      <c r="A745" s="13"/>
      <c r="B745" s="13"/>
      <c r="C745" s="13"/>
      <c r="D745" s="13"/>
      <c r="E745"/>
      <c r="F745"/>
      <c r="G745"/>
      <c r="H745"/>
      <c r="I745"/>
      <c r="J745"/>
      <c r="K745"/>
      <c r="L745"/>
      <c r="M745"/>
      <c r="N745" s="765"/>
      <c r="O745"/>
      <c r="P745"/>
      <c r="Q745" s="765"/>
      <c r="R745" s="765"/>
      <c r="S745" s="765"/>
    </row>
    <row r="746" spans="1:19" x14ac:dyDescent="0.2">
      <c r="A746" s="13"/>
      <c r="B746" s="13"/>
      <c r="C746" s="13"/>
      <c r="D746" s="13"/>
      <c r="E746"/>
      <c r="F746"/>
      <c r="G746"/>
      <c r="H746"/>
      <c r="I746"/>
      <c r="J746"/>
      <c r="K746"/>
      <c r="L746"/>
      <c r="M746"/>
      <c r="N746" s="765"/>
      <c r="O746"/>
      <c r="P746"/>
      <c r="Q746" s="765"/>
      <c r="R746" s="765"/>
      <c r="S746" s="765"/>
    </row>
    <row r="747" spans="1:19" x14ac:dyDescent="0.2">
      <c r="A747" s="13"/>
      <c r="B747" s="13"/>
      <c r="C747" s="13"/>
      <c r="D747" s="13"/>
      <c r="E747"/>
      <c r="F747"/>
      <c r="G747"/>
      <c r="H747"/>
      <c r="I747"/>
      <c r="J747"/>
      <c r="K747"/>
      <c r="L747"/>
      <c r="M747"/>
      <c r="N747" s="765"/>
      <c r="O747"/>
      <c r="P747"/>
      <c r="Q747" s="765"/>
      <c r="R747" s="765"/>
      <c r="S747" s="765"/>
    </row>
    <row r="748" spans="1:19" x14ac:dyDescent="0.2">
      <c r="A748" s="13"/>
      <c r="B748" s="13"/>
      <c r="C748" s="13"/>
      <c r="D748" s="13"/>
      <c r="E748"/>
      <c r="F748"/>
      <c r="G748"/>
      <c r="H748"/>
      <c r="I748"/>
      <c r="J748"/>
      <c r="K748"/>
      <c r="L748"/>
      <c r="M748"/>
      <c r="N748" s="765"/>
      <c r="O748"/>
      <c r="P748"/>
      <c r="Q748" s="765"/>
      <c r="R748" s="765"/>
      <c r="S748" s="765"/>
    </row>
    <row r="749" spans="1:19" x14ac:dyDescent="0.2">
      <c r="A749" s="13"/>
      <c r="B749" s="13"/>
      <c r="C749" s="13"/>
      <c r="D749" s="13"/>
      <c r="E749"/>
      <c r="F749"/>
      <c r="G749"/>
      <c r="H749"/>
      <c r="I749"/>
      <c r="J749"/>
      <c r="K749"/>
      <c r="L749"/>
      <c r="M749"/>
      <c r="N749" s="765"/>
      <c r="O749"/>
      <c r="P749"/>
      <c r="Q749" s="765"/>
      <c r="R749" s="765"/>
      <c r="S749" s="765"/>
    </row>
    <row r="750" spans="1:19" x14ac:dyDescent="0.2">
      <c r="A750" s="13"/>
      <c r="B750" s="13"/>
      <c r="C750" s="13"/>
      <c r="D750" s="13"/>
      <c r="E750"/>
      <c r="F750"/>
      <c r="G750"/>
      <c r="H750"/>
      <c r="I750"/>
      <c r="J750"/>
      <c r="K750"/>
      <c r="L750"/>
      <c r="M750"/>
      <c r="N750" s="765"/>
      <c r="O750"/>
      <c r="P750"/>
      <c r="Q750" s="765"/>
      <c r="R750" s="765"/>
      <c r="S750" s="765"/>
    </row>
    <row r="751" spans="1:19" x14ac:dyDescent="0.2">
      <c r="A751" s="13"/>
      <c r="B751" s="13"/>
      <c r="C751" s="13"/>
      <c r="D751" s="13"/>
      <c r="E751"/>
      <c r="F751"/>
      <c r="G751"/>
      <c r="H751"/>
      <c r="I751"/>
      <c r="J751"/>
      <c r="K751"/>
      <c r="L751"/>
      <c r="M751"/>
      <c r="N751" s="765"/>
      <c r="O751"/>
      <c r="P751"/>
      <c r="Q751" s="765"/>
      <c r="R751" s="765"/>
      <c r="S751" s="765"/>
    </row>
    <row r="752" spans="1:19" x14ac:dyDescent="0.2">
      <c r="A752" s="13"/>
      <c r="B752" s="13"/>
      <c r="C752" s="13"/>
      <c r="D752" s="13"/>
      <c r="E752"/>
      <c r="F752"/>
      <c r="G752"/>
      <c r="H752"/>
      <c r="I752"/>
      <c r="J752"/>
      <c r="K752"/>
      <c r="L752"/>
      <c r="M752"/>
      <c r="N752" s="765"/>
      <c r="O752"/>
      <c r="P752"/>
      <c r="Q752" s="765"/>
      <c r="R752" s="765"/>
      <c r="S752" s="765"/>
    </row>
    <row r="753" spans="1:19" x14ac:dyDescent="0.2">
      <c r="A753" s="13"/>
      <c r="B753" s="13"/>
      <c r="C753" s="13"/>
      <c r="D753" s="13"/>
      <c r="E753"/>
      <c r="F753"/>
      <c r="G753"/>
      <c r="H753"/>
      <c r="I753"/>
      <c r="J753"/>
      <c r="K753"/>
      <c r="L753"/>
      <c r="M753"/>
      <c r="N753" s="765"/>
      <c r="O753"/>
      <c r="P753"/>
      <c r="Q753" s="765"/>
      <c r="R753" s="765"/>
      <c r="S753" s="765"/>
    </row>
    <row r="754" spans="1:19" x14ac:dyDescent="0.2">
      <c r="A754" s="13"/>
      <c r="B754" s="13"/>
      <c r="C754" s="13"/>
      <c r="D754" s="13"/>
      <c r="E754"/>
      <c r="F754"/>
      <c r="G754"/>
      <c r="H754"/>
      <c r="I754"/>
      <c r="J754"/>
      <c r="K754"/>
      <c r="L754"/>
      <c r="M754"/>
      <c r="N754" s="765"/>
      <c r="O754"/>
      <c r="P754"/>
      <c r="Q754" s="765"/>
      <c r="R754" s="765"/>
      <c r="S754" s="765"/>
    </row>
    <row r="755" spans="1:19" x14ac:dyDescent="0.2">
      <c r="A755" s="13"/>
      <c r="B755" s="13"/>
      <c r="C755" s="13"/>
      <c r="D755" s="13"/>
      <c r="E755"/>
      <c r="F755"/>
      <c r="G755"/>
      <c r="H755"/>
      <c r="I755"/>
      <c r="J755"/>
      <c r="K755"/>
      <c r="L755"/>
      <c r="M755"/>
      <c r="N755" s="765"/>
      <c r="O755"/>
      <c r="P755"/>
      <c r="Q755" s="765"/>
      <c r="R755" s="765"/>
      <c r="S755" s="765"/>
    </row>
    <row r="756" spans="1:19" x14ac:dyDescent="0.2">
      <c r="A756" s="13"/>
      <c r="B756" s="13"/>
      <c r="C756" s="13"/>
      <c r="D756" s="13"/>
      <c r="E756"/>
      <c r="F756"/>
      <c r="G756"/>
      <c r="H756"/>
      <c r="I756"/>
      <c r="J756"/>
      <c r="K756"/>
      <c r="L756"/>
      <c r="M756"/>
      <c r="N756" s="765"/>
      <c r="O756"/>
      <c r="P756"/>
      <c r="Q756" s="765"/>
      <c r="R756" s="765"/>
      <c r="S756" s="765"/>
    </row>
    <row r="757" spans="1:19" x14ac:dyDescent="0.2">
      <c r="A757" s="13"/>
      <c r="B757" s="13"/>
      <c r="C757" s="13"/>
      <c r="D757" s="13"/>
      <c r="E757"/>
      <c r="F757"/>
      <c r="G757"/>
      <c r="H757"/>
      <c r="I757"/>
      <c r="J757"/>
      <c r="K757"/>
      <c r="L757"/>
      <c r="M757"/>
      <c r="N757" s="765"/>
      <c r="O757"/>
      <c r="P757"/>
      <c r="Q757" s="765"/>
      <c r="R757" s="765"/>
      <c r="S757" s="765"/>
    </row>
    <row r="758" spans="1:19" x14ac:dyDescent="0.2">
      <c r="A758" s="13"/>
      <c r="B758" s="13"/>
      <c r="C758" s="13"/>
      <c r="D758" s="13"/>
      <c r="E758"/>
      <c r="F758"/>
      <c r="G758"/>
      <c r="H758"/>
      <c r="I758"/>
      <c r="J758"/>
      <c r="K758"/>
      <c r="L758"/>
      <c r="M758"/>
      <c r="N758" s="765"/>
      <c r="O758"/>
      <c r="P758"/>
      <c r="Q758" s="765"/>
      <c r="R758" s="765"/>
      <c r="S758" s="765"/>
    </row>
    <row r="759" spans="1:19" x14ac:dyDescent="0.2">
      <c r="A759" s="13"/>
      <c r="B759" s="13"/>
      <c r="C759" s="13"/>
      <c r="D759" s="13"/>
      <c r="E759"/>
      <c r="F759"/>
      <c r="G759"/>
      <c r="H759"/>
      <c r="I759"/>
      <c r="J759"/>
      <c r="K759"/>
      <c r="L759"/>
      <c r="M759"/>
      <c r="N759" s="765"/>
      <c r="O759"/>
      <c r="P759"/>
      <c r="Q759" s="765"/>
      <c r="R759" s="765"/>
      <c r="S759" s="765"/>
    </row>
    <row r="760" spans="1:19" x14ac:dyDescent="0.2">
      <c r="A760" s="13"/>
      <c r="B760" s="13"/>
      <c r="C760" s="13"/>
      <c r="D760" s="13"/>
      <c r="E760"/>
      <c r="F760"/>
      <c r="G760"/>
      <c r="H760"/>
      <c r="I760"/>
      <c r="J760"/>
      <c r="K760"/>
      <c r="L760"/>
      <c r="M760"/>
      <c r="N760" s="765"/>
      <c r="O760"/>
      <c r="P760"/>
      <c r="Q760" s="765"/>
      <c r="R760" s="765"/>
      <c r="S760" s="765"/>
    </row>
    <row r="761" spans="1:19" x14ac:dyDescent="0.2">
      <c r="A761" s="13"/>
      <c r="B761" s="13"/>
      <c r="C761" s="13"/>
      <c r="D761" s="13"/>
      <c r="E761"/>
      <c r="F761"/>
      <c r="G761"/>
      <c r="H761"/>
      <c r="I761"/>
      <c r="J761"/>
      <c r="K761"/>
      <c r="L761"/>
      <c r="M761"/>
      <c r="N761" s="765"/>
      <c r="O761"/>
      <c r="P761"/>
      <c r="Q761" s="765"/>
      <c r="R761" s="765"/>
      <c r="S761" s="765"/>
    </row>
    <row r="762" spans="1:19" x14ac:dyDescent="0.2">
      <c r="A762" s="13"/>
      <c r="B762" s="13"/>
      <c r="C762" s="13"/>
      <c r="D762" s="13"/>
      <c r="E762"/>
      <c r="F762"/>
      <c r="G762"/>
      <c r="H762"/>
      <c r="I762"/>
      <c r="J762"/>
      <c r="K762"/>
      <c r="L762"/>
      <c r="M762"/>
      <c r="N762" s="765"/>
      <c r="O762"/>
      <c r="P762"/>
      <c r="Q762" s="765"/>
      <c r="R762" s="765"/>
      <c r="S762" s="765"/>
    </row>
    <row r="763" spans="1:19" x14ac:dyDescent="0.2">
      <c r="A763" s="13"/>
      <c r="B763" s="13"/>
      <c r="C763" s="13"/>
      <c r="D763" s="13"/>
      <c r="E763"/>
      <c r="F763"/>
      <c r="G763"/>
      <c r="H763"/>
      <c r="I763"/>
      <c r="J763"/>
      <c r="K763"/>
      <c r="L763"/>
      <c r="M763"/>
      <c r="N763" s="765"/>
      <c r="O763"/>
      <c r="P763"/>
      <c r="Q763" s="765"/>
      <c r="R763" s="765"/>
      <c r="S763" s="765"/>
    </row>
    <row r="764" spans="1:19" x14ac:dyDescent="0.2">
      <c r="A764" s="13"/>
      <c r="B764" s="13"/>
      <c r="C764" s="13"/>
      <c r="D764" s="13"/>
      <c r="E764"/>
      <c r="F764"/>
      <c r="G764"/>
      <c r="H764"/>
      <c r="I764"/>
      <c r="J764"/>
      <c r="K764"/>
      <c r="L764"/>
      <c r="M764"/>
      <c r="N764" s="765"/>
      <c r="O764"/>
      <c r="P764"/>
      <c r="Q764" s="765"/>
      <c r="R764" s="765"/>
      <c r="S764" s="765"/>
    </row>
    <row r="765" spans="1:19" x14ac:dyDescent="0.2">
      <c r="A765" s="13"/>
      <c r="B765" s="13"/>
      <c r="C765" s="13"/>
      <c r="D765" s="13"/>
      <c r="E765"/>
      <c r="F765"/>
      <c r="G765"/>
      <c r="H765"/>
      <c r="I765"/>
      <c r="J765"/>
      <c r="K765"/>
      <c r="L765"/>
      <c r="M765"/>
      <c r="N765" s="765"/>
      <c r="O765"/>
      <c r="P765"/>
      <c r="Q765" s="765"/>
      <c r="R765" s="765"/>
      <c r="S765" s="765"/>
    </row>
    <row r="766" spans="1:19" x14ac:dyDescent="0.2">
      <c r="A766" s="13"/>
      <c r="B766" s="13"/>
      <c r="C766" s="13"/>
      <c r="D766" s="13"/>
      <c r="E766"/>
      <c r="F766"/>
      <c r="G766"/>
      <c r="H766"/>
      <c r="I766"/>
      <c r="J766"/>
      <c r="K766"/>
      <c r="L766"/>
      <c r="M766"/>
      <c r="N766" s="765"/>
      <c r="O766"/>
      <c r="P766"/>
      <c r="Q766" s="765"/>
      <c r="R766" s="765"/>
      <c r="S766" s="765"/>
    </row>
    <row r="767" spans="1:19" x14ac:dyDescent="0.2">
      <c r="A767" s="13"/>
      <c r="B767" s="13"/>
      <c r="C767" s="13"/>
      <c r="D767" s="13"/>
      <c r="E767"/>
      <c r="F767"/>
      <c r="G767"/>
      <c r="H767"/>
      <c r="I767"/>
      <c r="J767"/>
      <c r="K767"/>
      <c r="L767"/>
      <c r="M767"/>
      <c r="N767" s="765"/>
      <c r="O767"/>
      <c r="P767"/>
      <c r="Q767" s="765"/>
      <c r="R767" s="765"/>
      <c r="S767" s="765"/>
    </row>
    <row r="768" spans="1:19" x14ac:dyDescent="0.2">
      <c r="A768" s="13"/>
      <c r="B768" s="13"/>
      <c r="C768" s="13"/>
      <c r="D768" s="13"/>
      <c r="E768"/>
      <c r="F768"/>
      <c r="G768"/>
      <c r="H768"/>
      <c r="I768"/>
      <c r="J768"/>
      <c r="K768"/>
      <c r="L768"/>
      <c r="M768"/>
      <c r="N768" s="765"/>
      <c r="O768"/>
      <c r="P768"/>
      <c r="Q768" s="765"/>
      <c r="R768" s="765"/>
      <c r="S768" s="765"/>
    </row>
    <row r="769" spans="1:19" x14ac:dyDescent="0.2">
      <c r="A769" s="13"/>
      <c r="B769" s="13"/>
      <c r="C769" s="13"/>
      <c r="D769" s="13"/>
      <c r="E769"/>
      <c r="F769"/>
      <c r="G769"/>
      <c r="H769"/>
      <c r="I769"/>
      <c r="J769"/>
      <c r="K769"/>
      <c r="L769"/>
      <c r="M769"/>
      <c r="N769" s="765"/>
      <c r="O769"/>
      <c r="P769"/>
      <c r="Q769" s="765"/>
      <c r="R769" s="765"/>
      <c r="S769" s="765"/>
    </row>
    <row r="770" spans="1:19" x14ac:dyDescent="0.2">
      <c r="A770" s="13"/>
      <c r="B770" s="13"/>
      <c r="C770" s="13"/>
      <c r="D770" s="13"/>
      <c r="E770"/>
      <c r="F770"/>
      <c r="G770"/>
      <c r="H770"/>
      <c r="I770"/>
      <c r="J770"/>
      <c r="K770"/>
      <c r="L770"/>
      <c r="M770"/>
      <c r="N770" s="765"/>
      <c r="O770"/>
      <c r="P770"/>
      <c r="Q770" s="765"/>
      <c r="R770" s="765"/>
      <c r="S770" s="765"/>
    </row>
    <row r="771" spans="1:19" x14ac:dyDescent="0.2">
      <c r="A771" s="13"/>
      <c r="B771" s="13"/>
      <c r="C771" s="13"/>
      <c r="D771" s="13"/>
      <c r="E771"/>
      <c r="F771"/>
      <c r="G771"/>
      <c r="H771"/>
      <c r="I771"/>
      <c r="J771"/>
      <c r="K771"/>
      <c r="L771"/>
      <c r="M771"/>
      <c r="N771" s="765"/>
      <c r="O771"/>
      <c r="P771"/>
      <c r="Q771" s="765"/>
      <c r="R771" s="765"/>
      <c r="S771" s="765"/>
    </row>
    <row r="772" spans="1:19" x14ac:dyDescent="0.2">
      <c r="A772" s="13"/>
      <c r="B772" s="13"/>
      <c r="C772" s="13"/>
      <c r="D772" s="13"/>
      <c r="E772"/>
      <c r="F772"/>
      <c r="G772"/>
      <c r="H772"/>
      <c r="I772"/>
      <c r="J772"/>
      <c r="K772"/>
      <c r="L772"/>
      <c r="M772"/>
      <c r="N772" s="765"/>
      <c r="O772"/>
      <c r="P772"/>
      <c r="Q772" s="765"/>
      <c r="R772" s="765"/>
      <c r="S772" s="765"/>
    </row>
    <row r="773" spans="1:19" x14ac:dyDescent="0.2">
      <c r="A773" s="13"/>
      <c r="B773" s="13"/>
      <c r="C773" s="13"/>
      <c r="D773" s="13"/>
      <c r="E773"/>
      <c r="F773"/>
      <c r="G773"/>
      <c r="H773"/>
      <c r="I773"/>
      <c r="J773"/>
      <c r="K773"/>
      <c r="L773"/>
      <c r="M773"/>
      <c r="N773" s="765"/>
      <c r="O773"/>
      <c r="P773"/>
      <c r="Q773" s="765"/>
      <c r="R773" s="765"/>
      <c r="S773" s="765"/>
    </row>
    <row r="774" spans="1:19" x14ac:dyDescent="0.2">
      <c r="A774" s="13"/>
      <c r="B774" s="13"/>
      <c r="C774" s="13"/>
      <c r="D774" s="13"/>
      <c r="E774"/>
      <c r="F774"/>
      <c r="G774"/>
      <c r="H774"/>
      <c r="I774"/>
      <c r="J774"/>
      <c r="K774"/>
      <c r="L774"/>
      <c r="M774"/>
      <c r="N774" s="765"/>
      <c r="O774"/>
      <c r="P774"/>
      <c r="Q774" s="765"/>
      <c r="R774" s="765"/>
      <c r="S774" s="765"/>
    </row>
    <row r="775" spans="1:19" x14ac:dyDescent="0.2">
      <c r="A775" s="13"/>
      <c r="B775" s="13"/>
      <c r="C775" s="13"/>
      <c r="D775" s="13"/>
      <c r="E775"/>
      <c r="F775"/>
      <c r="G775"/>
      <c r="H775"/>
      <c r="I775"/>
      <c r="J775"/>
      <c r="K775"/>
      <c r="L775"/>
      <c r="M775"/>
      <c r="N775" s="765"/>
      <c r="O775"/>
      <c r="P775"/>
      <c r="Q775" s="765"/>
      <c r="R775" s="765"/>
      <c r="S775" s="765"/>
    </row>
    <row r="776" spans="1:19" x14ac:dyDescent="0.2">
      <c r="A776" s="13"/>
      <c r="B776" s="13"/>
      <c r="C776" s="13"/>
      <c r="D776" s="13"/>
      <c r="E776"/>
      <c r="F776"/>
      <c r="G776"/>
      <c r="H776"/>
      <c r="I776"/>
      <c r="J776"/>
      <c r="K776"/>
      <c r="L776"/>
      <c r="M776"/>
      <c r="N776" s="765"/>
      <c r="O776"/>
      <c r="P776"/>
      <c r="Q776" s="765"/>
      <c r="R776" s="765"/>
      <c r="S776" s="765"/>
    </row>
    <row r="777" spans="1:19" x14ac:dyDescent="0.2">
      <c r="A777" s="13"/>
      <c r="B777" s="13"/>
      <c r="C777" s="13"/>
      <c r="D777" s="13"/>
      <c r="E777"/>
      <c r="F777"/>
      <c r="G777"/>
      <c r="H777"/>
      <c r="I777"/>
      <c r="J777"/>
      <c r="K777"/>
      <c r="L777"/>
      <c r="M777"/>
      <c r="N777" s="765"/>
      <c r="O777"/>
      <c r="P777"/>
      <c r="Q777" s="765"/>
      <c r="R777" s="765"/>
      <c r="S777" s="765"/>
    </row>
    <row r="778" spans="1:19" x14ac:dyDescent="0.2">
      <c r="A778" s="13"/>
      <c r="B778" s="13"/>
      <c r="C778" s="13"/>
      <c r="D778" s="13"/>
      <c r="E778"/>
      <c r="F778"/>
      <c r="G778"/>
      <c r="H778"/>
      <c r="I778"/>
      <c r="J778"/>
      <c r="K778"/>
      <c r="L778"/>
      <c r="M778"/>
      <c r="N778" s="765"/>
      <c r="O778"/>
      <c r="P778"/>
      <c r="Q778" s="765"/>
      <c r="R778" s="765"/>
      <c r="S778" s="765"/>
    </row>
    <row r="779" spans="1:19" x14ac:dyDescent="0.2">
      <c r="A779" s="13"/>
      <c r="B779" s="13"/>
      <c r="C779" s="13"/>
      <c r="D779" s="13"/>
      <c r="E779"/>
      <c r="F779"/>
      <c r="G779"/>
      <c r="H779"/>
      <c r="I779"/>
      <c r="J779"/>
      <c r="K779"/>
      <c r="L779"/>
      <c r="M779"/>
      <c r="N779" s="765"/>
      <c r="O779"/>
      <c r="P779"/>
      <c r="Q779" s="765"/>
      <c r="R779" s="765"/>
      <c r="S779" s="765"/>
    </row>
    <row r="780" spans="1:19" x14ac:dyDescent="0.2">
      <c r="A780" s="13"/>
      <c r="B780" s="13"/>
      <c r="C780" s="13"/>
      <c r="D780" s="13"/>
      <c r="E780"/>
      <c r="F780"/>
      <c r="G780"/>
      <c r="H780"/>
      <c r="I780"/>
      <c r="J780"/>
      <c r="K780"/>
      <c r="L780"/>
      <c r="M780"/>
      <c r="N780" s="765"/>
      <c r="O780"/>
      <c r="P780"/>
      <c r="Q780" s="765"/>
      <c r="R780" s="765"/>
      <c r="S780" s="765"/>
    </row>
    <row r="781" spans="1:19" x14ac:dyDescent="0.2">
      <c r="A781" s="13"/>
      <c r="B781" s="13"/>
      <c r="C781" s="13"/>
      <c r="D781" s="13"/>
      <c r="E781"/>
      <c r="F781"/>
      <c r="G781"/>
      <c r="H781"/>
      <c r="I781"/>
      <c r="J781"/>
      <c r="K781"/>
      <c r="L781"/>
      <c r="M781"/>
      <c r="N781" s="765"/>
      <c r="O781"/>
      <c r="P781"/>
      <c r="Q781" s="765"/>
      <c r="R781" s="765"/>
      <c r="S781" s="765"/>
    </row>
    <row r="782" spans="1:19" x14ac:dyDescent="0.2">
      <c r="A782" s="13"/>
      <c r="B782" s="13"/>
      <c r="C782" s="13"/>
      <c r="D782" s="13"/>
      <c r="E782"/>
      <c r="F782"/>
      <c r="G782"/>
      <c r="H782"/>
      <c r="I782"/>
      <c r="J782"/>
      <c r="K782"/>
      <c r="L782"/>
      <c r="M782"/>
      <c r="N782" s="765"/>
      <c r="O782"/>
      <c r="P782"/>
      <c r="Q782" s="765"/>
      <c r="R782" s="765"/>
      <c r="S782" s="765"/>
    </row>
    <row r="783" spans="1:19" x14ac:dyDescent="0.2">
      <c r="A783" s="13"/>
      <c r="B783" s="13"/>
      <c r="C783" s="13"/>
      <c r="D783" s="13"/>
      <c r="E783"/>
      <c r="F783"/>
      <c r="G783"/>
      <c r="H783"/>
      <c r="I783"/>
      <c r="J783"/>
      <c r="K783"/>
      <c r="L783"/>
      <c r="M783"/>
      <c r="N783" s="765"/>
      <c r="O783"/>
      <c r="P783"/>
      <c r="Q783" s="765"/>
      <c r="R783" s="765"/>
      <c r="S783" s="765"/>
    </row>
    <row r="784" spans="1:19" x14ac:dyDescent="0.2">
      <c r="A784" s="13"/>
      <c r="B784" s="13"/>
      <c r="C784" s="13"/>
      <c r="D784" s="13"/>
      <c r="E784"/>
      <c r="F784"/>
      <c r="G784"/>
      <c r="H784"/>
      <c r="I784"/>
      <c r="J784"/>
      <c r="K784"/>
      <c r="L784"/>
      <c r="M784"/>
      <c r="N784" s="765"/>
      <c r="O784"/>
      <c r="P784"/>
      <c r="Q784" s="765"/>
      <c r="R784" s="765"/>
      <c r="S784" s="765"/>
    </row>
    <row r="785" spans="1:19" x14ac:dyDescent="0.2">
      <c r="A785" s="13"/>
      <c r="B785" s="13"/>
      <c r="C785" s="13"/>
      <c r="D785" s="13"/>
      <c r="E785"/>
      <c r="F785"/>
      <c r="G785"/>
      <c r="H785"/>
      <c r="I785"/>
      <c r="J785"/>
      <c r="K785"/>
      <c r="L785"/>
      <c r="M785"/>
      <c r="N785" s="765"/>
      <c r="O785"/>
      <c r="P785"/>
      <c r="Q785" s="765"/>
      <c r="R785" s="765"/>
      <c r="S785" s="765"/>
    </row>
    <row r="786" spans="1:19" x14ac:dyDescent="0.2">
      <c r="A786" s="13"/>
      <c r="B786" s="13"/>
      <c r="C786" s="13"/>
      <c r="D786" s="13"/>
      <c r="E786"/>
      <c r="F786"/>
      <c r="G786"/>
      <c r="H786"/>
      <c r="I786"/>
      <c r="J786"/>
      <c r="K786"/>
      <c r="L786"/>
      <c r="M786"/>
      <c r="N786" s="765"/>
      <c r="O786"/>
      <c r="P786"/>
      <c r="Q786" s="765"/>
      <c r="R786" s="765"/>
      <c r="S786" s="765"/>
    </row>
    <row r="787" spans="1:19" x14ac:dyDescent="0.2">
      <c r="A787" s="13"/>
      <c r="B787" s="13"/>
      <c r="C787" s="13"/>
      <c r="D787" s="13"/>
      <c r="E787"/>
      <c r="F787"/>
      <c r="G787"/>
      <c r="H787"/>
      <c r="I787"/>
      <c r="J787"/>
      <c r="K787"/>
      <c r="L787"/>
      <c r="M787"/>
      <c r="N787" s="765"/>
      <c r="O787"/>
      <c r="P787"/>
      <c r="Q787" s="765"/>
      <c r="R787" s="765"/>
      <c r="S787" s="765"/>
    </row>
    <row r="788" spans="1:19" x14ac:dyDescent="0.2">
      <c r="A788" s="13"/>
      <c r="B788" s="13"/>
      <c r="C788" s="13"/>
      <c r="D788" s="13"/>
      <c r="E788"/>
      <c r="F788"/>
      <c r="G788"/>
      <c r="H788"/>
      <c r="I788"/>
      <c r="J788"/>
      <c r="K788"/>
      <c r="L788"/>
      <c r="M788"/>
      <c r="N788" s="765"/>
      <c r="O788"/>
      <c r="P788"/>
      <c r="Q788" s="765"/>
      <c r="R788" s="765"/>
      <c r="S788" s="765"/>
    </row>
    <row r="789" spans="1:19" x14ac:dyDescent="0.2">
      <c r="A789" s="13"/>
      <c r="B789" s="13"/>
      <c r="C789" s="13"/>
      <c r="D789" s="13"/>
      <c r="E789"/>
      <c r="F789"/>
      <c r="G789"/>
      <c r="H789"/>
      <c r="I789"/>
      <c r="J789"/>
      <c r="K789"/>
      <c r="L789"/>
      <c r="M789"/>
      <c r="N789" s="765"/>
      <c r="O789"/>
      <c r="P789"/>
      <c r="Q789" s="765"/>
      <c r="R789" s="765"/>
      <c r="S789" s="765"/>
    </row>
    <row r="790" spans="1:19" x14ac:dyDescent="0.2">
      <c r="A790" s="13"/>
      <c r="B790" s="13"/>
      <c r="C790" s="13"/>
      <c r="D790" s="13"/>
      <c r="E790"/>
      <c r="F790"/>
      <c r="G790"/>
      <c r="H790"/>
      <c r="I790"/>
      <c r="J790"/>
      <c r="K790"/>
      <c r="L790"/>
      <c r="M790"/>
      <c r="N790" s="765"/>
      <c r="O790"/>
      <c r="P790"/>
      <c r="Q790" s="765"/>
      <c r="R790" s="765"/>
      <c r="S790" s="765"/>
    </row>
    <row r="791" spans="1:19" x14ac:dyDescent="0.2">
      <c r="A791" s="13"/>
      <c r="B791" s="13"/>
      <c r="C791" s="13"/>
      <c r="D791" s="13"/>
      <c r="E791"/>
      <c r="F791"/>
      <c r="G791"/>
      <c r="H791"/>
      <c r="I791"/>
      <c r="J791"/>
      <c r="K791"/>
      <c r="L791"/>
      <c r="M791"/>
      <c r="N791" s="765"/>
      <c r="O791"/>
      <c r="P791"/>
      <c r="Q791" s="765"/>
      <c r="R791" s="765"/>
      <c r="S791" s="765"/>
    </row>
    <row r="792" spans="1:19" x14ac:dyDescent="0.2">
      <c r="A792" s="13"/>
      <c r="B792" s="13"/>
      <c r="C792" s="13"/>
      <c r="D792" s="13"/>
      <c r="E792"/>
      <c r="F792"/>
      <c r="G792"/>
      <c r="H792"/>
      <c r="I792"/>
      <c r="J792"/>
      <c r="K792"/>
      <c r="L792"/>
      <c r="M792"/>
      <c r="N792" s="765"/>
      <c r="O792"/>
      <c r="P792"/>
      <c r="Q792" s="765"/>
      <c r="R792" s="765"/>
      <c r="S792" s="765"/>
    </row>
    <row r="793" spans="1:19" x14ac:dyDescent="0.2">
      <c r="A793" s="13"/>
      <c r="B793" s="13"/>
      <c r="C793" s="13"/>
      <c r="D793" s="13"/>
      <c r="E793"/>
      <c r="F793"/>
      <c r="G793"/>
      <c r="H793"/>
      <c r="I793"/>
      <c r="J793"/>
      <c r="K793"/>
      <c r="L793"/>
      <c r="M793"/>
      <c r="N793" s="765"/>
      <c r="O793"/>
      <c r="P793"/>
      <c r="Q793" s="765"/>
      <c r="R793" s="765"/>
      <c r="S793" s="765"/>
    </row>
    <row r="794" spans="1:19" x14ac:dyDescent="0.2">
      <c r="A794" s="13"/>
      <c r="B794" s="13"/>
      <c r="C794" s="13"/>
      <c r="D794" s="13"/>
      <c r="E794"/>
      <c r="F794"/>
      <c r="G794"/>
      <c r="H794"/>
      <c r="I794"/>
      <c r="J794"/>
      <c r="K794"/>
      <c r="L794"/>
      <c r="M794"/>
      <c r="N794" s="765"/>
      <c r="O794"/>
      <c r="P794"/>
      <c r="Q794" s="765"/>
      <c r="R794" s="765"/>
      <c r="S794" s="765"/>
    </row>
    <row r="795" spans="1:19" x14ac:dyDescent="0.2">
      <c r="A795" s="13"/>
      <c r="B795" s="13"/>
      <c r="C795" s="13"/>
      <c r="D795" s="13"/>
      <c r="E795"/>
      <c r="F795"/>
      <c r="G795"/>
      <c r="H795"/>
      <c r="I795"/>
      <c r="J795"/>
      <c r="K795"/>
      <c r="L795"/>
      <c r="M795"/>
      <c r="N795" s="765"/>
      <c r="O795"/>
      <c r="P795"/>
      <c r="Q795" s="765"/>
      <c r="R795" s="765"/>
      <c r="S795" s="765"/>
    </row>
    <row r="796" spans="1:19" x14ac:dyDescent="0.2">
      <c r="A796" s="13"/>
      <c r="B796" s="13"/>
      <c r="C796" s="13"/>
      <c r="D796" s="13"/>
      <c r="E796"/>
      <c r="F796"/>
      <c r="G796"/>
      <c r="H796"/>
      <c r="I796"/>
      <c r="J796"/>
      <c r="K796"/>
      <c r="L796"/>
      <c r="M796"/>
      <c r="N796" s="765"/>
      <c r="O796"/>
      <c r="P796"/>
      <c r="Q796" s="765"/>
      <c r="R796" s="765"/>
      <c r="S796" s="765"/>
    </row>
  </sheetData>
  <mergeCells count="12">
    <mergeCell ref="D2:P2"/>
    <mergeCell ref="D3:P3"/>
    <mergeCell ref="D9:P9"/>
    <mergeCell ref="Y6:AA6"/>
    <mergeCell ref="AC6:AE6"/>
    <mergeCell ref="AG6:AI6"/>
    <mergeCell ref="D23:P23"/>
    <mergeCell ref="D38:P38"/>
    <mergeCell ref="D6:D7"/>
    <mergeCell ref="D17:P17"/>
    <mergeCell ref="D27:P27"/>
    <mergeCell ref="D33:P33"/>
  </mergeCells>
  <phoneticPr fontId="11" type="noConversion"/>
  <printOptions horizontalCentered="1" verticalCentered="1"/>
  <pageMargins left="0.7" right="0.7" top="0.75" bottom="0.75" header="0.3" footer="0.3"/>
  <pageSetup scale="44" orientation="landscape"/>
  <headerFooter alignWithMargins="0">
    <oddHeader xml:space="preserve">&amp;R&amp;16
</oddHeader>
    <oddFooter xml:space="preserve">&amp;CTotals may vary due to rounding 
</oddFooter>
  </headerFooter>
  <ignoredErrors>
    <ignoredError sqref="H53 L26 M3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N88"/>
  <sheetViews>
    <sheetView workbookViewId="0">
      <selection activeCell="B4" sqref="B4:E4"/>
    </sheetView>
  </sheetViews>
  <sheetFormatPr defaultColWidth="9.140625" defaultRowHeight="12.75" x14ac:dyDescent="0.2"/>
  <cols>
    <col min="1" max="1" width="9.140625" style="166"/>
    <col min="2" max="2" width="55.28515625" style="158" bestFit="1" customWidth="1"/>
    <col min="3" max="3" width="16" style="158" bestFit="1" customWidth="1"/>
    <col min="4" max="5" width="10.7109375" style="158" customWidth="1"/>
    <col min="6" max="7" width="9.140625" style="158"/>
    <col min="8" max="8" width="12.5703125" style="158" customWidth="1"/>
    <col min="9" max="16384" width="9.140625" style="158"/>
  </cols>
  <sheetData>
    <row r="1" spans="1:14" customFormat="1" ht="18" x14ac:dyDescent="0.25">
      <c r="A1" s="924"/>
      <c r="B1" s="924"/>
      <c r="C1" s="924"/>
      <c r="D1" s="924"/>
      <c r="E1" s="924"/>
      <c r="F1" s="924"/>
      <c r="G1" s="924"/>
      <c r="H1" s="924"/>
      <c r="I1" s="924"/>
      <c r="J1" s="924"/>
      <c r="K1" s="924"/>
      <c r="L1" s="924"/>
      <c r="M1" s="924"/>
      <c r="N1" s="924"/>
    </row>
    <row r="2" spans="1:14" customFormat="1" ht="18" x14ac:dyDescent="0.25">
      <c r="A2" s="924"/>
      <c r="B2" s="924"/>
      <c r="C2" s="924"/>
      <c r="D2" s="924"/>
      <c r="E2" s="924"/>
      <c r="F2" s="924"/>
      <c r="G2" s="924"/>
      <c r="H2" s="924"/>
      <c r="I2" s="924"/>
      <c r="J2" s="924"/>
      <c r="K2" s="924"/>
      <c r="L2" s="924"/>
      <c r="M2" s="924"/>
      <c r="N2" s="924"/>
    </row>
    <row r="3" spans="1:14" customFormat="1" ht="23.25" x14ac:dyDescent="0.35">
      <c r="A3" s="310"/>
      <c r="B3" s="869" t="s">
        <v>528</v>
      </c>
      <c r="C3" s="869"/>
      <c r="D3" s="869"/>
      <c r="E3" s="869"/>
      <c r="F3" s="310"/>
      <c r="G3" s="310"/>
      <c r="H3" s="310"/>
      <c r="I3" s="310"/>
      <c r="J3" s="310"/>
      <c r="K3" s="310"/>
      <c r="L3" s="310"/>
      <c r="M3" s="310"/>
      <c r="N3" s="310"/>
    </row>
    <row r="4" spans="1:14" x14ac:dyDescent="0.2">
      <c r="B4" s="926"/>
      <c r="C4" s="926"/>
      <c r="D4" s="926"/>
      <c r="E4" s="926"/>
    </row>
    <row r="5" spans="1:14" ht="16.5" x14ac:dyDescent="0.25">
      <c r="B5" s="922" t="s">
        <v>231</v>
      </c>
      <c r="C5" s="922"/>
      <c r="D5" s="922"/>
      <c r="E5" s="922"/>
    </row>
    <row r="6" spans="1:14" ht="16.5" x14ac:dyDescent="0.25">
      <c r="B6" s="501"/>
      <c r="C6" s="501"/>
      <c r="D6" s="501"/>
      <c r="E6" s="501"/>
    </row>
    <row r="7" spans="1:14" ht="17.25" thickBot="1" x14ac:dyDescent="0.3">
      <c r="B7" s="501"/>
      <c r="C7" s="501"/>
      <c r="D7" s="501"/>
      <c r="E7" s="501"/>
    </row>
    <row r="8" spans="1:14" ht="17.25" thickBot="1" x14ac:dyDescent="0.3">
      <c r="B8" s="501"/>
      <c r="C8" s="502" t="s">
        <v>60</v>
      </c>
      <c r="D8" s="503" t="s">
        <v>228</v>
      </c>
      <c r="E8" s="504" t="s">
        <v>6</v>
      </c>
    </row>
    <row r="9" spans="1:14" ht="17.25" thickBot="1" x14ac:dyDescent="0.3">
      <c r="B9" s="925" t="s">
        <v>19</v>
      </c>
      <c r="C9" s="925"/>
      <c r="D9" s="925"/>
      <c r="E9" s="925"/>
      <c r="G9" s="158" t="s">
        <v>400</v>
      </c>
      <c r="I9" s="158" t="s">
        <v>401</v>
      </c>
    </row>
    <row r="10" spans="1:14" ht="17.25" thickBot="1" x14ac:dyDescent="0.3">
      <c r="B10" s="507" t="s">
        <v>256</v>
      </c>
      <c r="C10" s="506">
        <v>1</v>
      </c>
      <c r="D10" s="506">
        <v>0</v>
      </c>
      <c r="E10" s="506">
        <v>0</v>
      </c>
      <c r="G10" s="158">
        <v>40</v>
      </c>
      <c r="I10" s="158">
        <v>24</v>
      </c>
    </row>
    <row r="11" spans="1:14" ht="17.25" thickBot="1" x14ac:dyDescent="0.3">
      <c r="B11" s="507" t="s">
        <v>258</v>
      </c>
      <c r="C11" s="506">
        <v>0</v>
      </c>
      <c r="D11" s="506">
        <v>1</v>
      </c>
      <c r="E11" s="506">
        <v>0</v>
      </c>
      <c r="G11" s="158">
        <v>41</v>
      </c>
      <c r="I11" s="158">
        <v>25</v>
      </c>
    </row>
    <row r="12" spans="1:14" ht="17.25" thickBot="1" x14ac:dyDescent="0.3">
      <c r="B12" s="925" t="s">
        <v>261</v>
      </c>
      <c r="C12" s="925"/>
      <c r="D12" s="925"/>
      <c r="E12" s="925"/>
      <c r="F12" s="158" t="s">
        <v>398</v>
      </c>
      <c r="G12" s="158" t="s">
        <v>400</v>
      </c>
      <c r="H12" s="166" t="s">
        <v>399</v>
      </c>
      <c r="I12" s="158" t="s">
        <v>401</v>
      </c>
      <c r="J12" s="198" t="s">
        <v>396</v>
      </c>
    </row>
    <row r="13" spans="1:14" ht="17.25" thickBot="1" x14ac:dyDescent="0.3">
      <c r="B13" s="505" t="s">
        <v>395</v>
      </c>
      <c r="C13" s="506">
        <v>0.8</v>
      </c>
      <c r="D13" s="506">
        <v>0.2</v>
      </c>
      <c r="E13" s="506">
        <v>0</v>
      </c>
      <c r="F13" s="158">
        <v>3</v>
      </c>
      <c r="G13" s="158">
        <v>30</v>
      </c>
      <c r="H13" s="166">
        <v>1</v>
      </c>
      <c r="I13" s="158">
        <v>28</v>
      </c>
      <c r="J13" s="202" t="s">
        <v>185</v>
      </c>
    </row>
    <row r="14" spans="1:14" ht="17.25" thickBot="1" x14ac:dyDescent="0.3">
      <c r="B14" s="505" t="s">
        <v>397</v>
      </c>
      <c r="C14" s="506">
        <v>0.5</v>
      </c>
      <c r="D14" s="506">
        <v>0.5</v>
      </c>
      <c r="E14" s="506">
        <v>0</v>
      </c>
      <c r="F14" s="158">
        <v>4</v>
      </c>
      <c r="G14" s="158">
        <v>31</v>
      </c>
      <c r="H14" s="166">
        <v>2</v>
      </c>
      <c r="I14" s="158">
        <v>29</v>
      </c>
      <c r="J14" s="171" t="s">
        <v>188</v>
      </c>
    </row>
    <row r="15" spans="1:14" ht="17.25" thickBot="1" x14ac:dyDescent="0.3">
      <c r="B15" s="505" t="s">
        <v>393</v>
      </c>
      <c r="C15" s="506">
        <v>0.5</v>
      </c>
      <c r="D15" s="506">
        <v>0.5</v>
      </c>
      <c r="E15" s="506">
        <v>0</v>
      </c>
      <c r="F15" s="158">
        <v>1</v>
      </c>
      <c r="G15" s="158">
        <v>28</v>
      </c>
      <c r="H15" s="166">
        <v>3</v>
      </c>
      <c r="I15" s="158">
        <v>30</v>
      </c>
      <c r="J15" s="200" t="s">
        <v>184</v>
      </c>
    </row>
    <row r="16" spans="1:14" ht="17.25" thickBot="1" x14ac:dyDescent="0.3">
      <c r="B16" s="505" t="s">
        <v>394</v>
      </c>
      <c r="C16" s="506">
        <v>0.8</v>
      </c>
      <c r="D16" s="506">
        <v>0.2</v>
      </c>
      <c r="E16" s="506">
        <v>0</v>
      </c>
      <c r="F16" s="158">
        <v>2</v>
      </c>
      <c r="G16" s="158">
        <v>29</v>
      </c>
      <c r="H16" s="166">
        <v>4</v>
      </c>
      <c r="I16" s="158">
        <v>31</v>
      </c>
      <c r="J16" s="201" t="s">
        <v>141</v>
      </c>
    </row>
    <row r="17" spans="2:9" ht="21.75" customHeight="1" thickBot="1" x14ac:dyDescent="0.3">
      <c r="B17" s="925" t="s">
        <v>39</v>
      </c>
      <c r="C17" s="925"/>
      <c r="D17" s="925"/>
      <c r="E17" s="925"/>
      <c r="F17" s="158" t="s">
        <v>13</v>
      </c>
    </row>
    <row r="18" spans="2:9" ht="17.25" thickBot="1" x14ac:dyDescent="0.3">
      <c r="B18" s="507" t="s">
        <v>227</v>
      </c>
      <c r="C18" s="506">
        <v>1</v>
      </c>
      <c r="D18" s="506">
        <v>0</v>
      </c>
      <c r="E18" s="506">
        <v>0</v>
      </c>
      <c r="G18" s="158">
        <v>34</v>
      </c>
      <c r="I18" s="158">
        <v>34</v>
      </c>
    </row>
    <row r="19" spans="2:9" ht="17.25" thickBot="1" x14ac:dyDescent="0.3">
      <c r="B19" s="505" t="s">
        <v>189</v>
      </c>
      <c r="C19" s="506">
        <v>0</v>
      </c>
      <c r="D19" s="506">
        <v>1</v>
      </c>
      <c r="E19" s="506">
        <v>0</v>
      </c>
      <c r="G19" s="158">
        <v>35</v>
      </c>
      <c r="I19" s="158">
        <v>35</v>
      </c>
    </row>
    <row r="20" spans="2:9" ht="17.25" thickBot="1" x14ac:dyDescent="0.3">
      <c r="B20" s="505" t="s">
        <v>21</v>
      </c>
      <c r="C20" s="506">
        <v>0</v>
      </c>
      <c r="D20" s="506">
        <v>0</v>
      </c>
      <c r="E20" s="506">
        <v>1</v>
      </c>
      <c r="G20" s="158">
        <v>36</v>
      </c>
      <c r="I20" s="158">
        <v>36</v>
      </c>
    </row>
    <row r="21" spans="2:9" ht="17.25" thickBot="1" x14ac:dyDescent="0.3">
      <c r="B21" s="925" t="s">
        <v>22</v>
      </c>
      <c r="C21" s="925"/>
      <c r="D21" s="925"/>
      <c r="E21" s="925"/>
    </row>
    <row r="22" spans="2:9" ht="17.25" thickBot="1" x14ac:dyDescent="0.3">
      <c r="B22" s="507" t="s">
        <v>7</v>
      </c>
      <c r="C22" s="506">
        <v>0</v>
      </c>
      <c r="D22" s="506">
        <v>0</v>
      </c>
      <c r="E22" s="506">
        <v>1</v>
      </c>
      <c r="G22" s="158">
        <v>44</v>
      </c>
      <c r="I22" s="158">
        <v>39</v>
      </c>
    </row>
    <row r="23" spans="2:9" ht="17.25" thickBot="1" x14ac:dyDescent="0.3">
      <c r="B23" s="507" t="s">
        <v>134</v>
      </c>
      <c r="C23" s="506">
        <v>0.8</v>
      </c>
      <c r="D23" s="506">
        <v>0.2</v>
      </c>
      <c r="E23" s="506">
        <v>0</v>
      </c>
      <c r="G23" s="158">
        <v>45</v>
      </c>
      <c r="I23" s="158">
        <v>40</v>
      </c>
    </row>
    <row r="24" spans="2:9" ht="17.25" thickBot="1" x14ac:dyDescent="0.3">
      <c r="B24" s="507" t="s">
        <v>193</v>
      </c>
      <c r="C24" s="506">
        <v>0</v>
      </c>
      <c r="D24" s="506">
        <v>0</v>
      </c>
      <c r="E24" s="506">
        <v>1</v>
      </c>
      <c r="G24" s="158">
        <v>46</v>
      </c>
      <c r="I24" s="158">
        <v>41</v>
      </c>
    </row>
    <row r="25" spans="2:9" ht="17.25" thickBot="1" x14ac:dyDescent="0.3">
      <c r="B25" s="507" t="s">
        <v>222</v>
      </c>
      <c r="C25" s="506">
        <v>0</v>
      </c>
      <c r="D25" s="506">
        <v>0</v>
      </c>
      <c r="E25" s="506">
        <v>1</v>
      </c>
      <c r="G25" s="158">
        <v>47</v>
      </c>
      <c r="I25" s="158">
        <v>42</v>
      </c>
    </row>
    <row r="26" spans="2:9" ht="17.25" thickBot="1" x14ac:dyDescent="0.3">
      <c r="B26" s="507" t="s">
        <v>219</v>
      </c>
      <c r="C26" s="506">
        <v>0</v>
      </c>
      <c r="D26" s="506">
        <v>0</v>
      </c>
      <c r="E26" s="506">
        <v>1</v>
      </c>
      <c r="G26" s="158">
        <v>48</v>
      </c>
      <c r="I26" s="158">
        <v>43</v>
      </c>
    </row>
    <row r="27" spans="2:9" ht="17.25" thickBot="1" x14ac:dyDescent="0.3">
      <c r="B27" s="507" t="s">
        <v>8</v>
      </c>
      <c r="C27" s="506">
        <v>0</v>
      </c>
      <c r="D27" s="506">
        <v>0</v>
      </c>
      <c r="E27" s="506">
        <v>1</v>
      </c>
      <c r="G27" s="158">
        <v>49</v>
      </c>
      <c r="I27" s="158">
        <v>44</v>
      </c>
    </row>
    <row r="28" spans="2:9" ht="17.25" thickBot="1" x14ac:dyDescent="0.3">
      <c r="B28" s="507" t="s">
        <v>220</v>
      </c>
      <c r="C28" s="506">
        <v>0</v>
      </c>
      <c r="D28" s="506">
        <v>0</v>
      </c>
      <c r="E28" s="506">
        <v>1</v>
      </c>
      <c r="G28" s="158">
        <v>50</v>
      </c>
      <c r="I28" s="158">
        <v>45</v>
      </c>
    </row>
    <row r="29" spans="2:9" ht="17.25" thickBot="1" x14ac:dyDescent="0.3">
      <c r="B29" s="507" t="s">
        <v>226</v>
      </c>
      <c r="C29" s="506">
        <v>0</v>
      </c>
      <c r="D29" s="506">
        <v>0</v>
      </c>
      <c r="E29" s="506">
        <v>1</v>
      </c>
      <c r="G29" s="158">
        <v>51</v>
      </c>
      <c r="I29" s="158">
        <v>46</v>
      </c>
    </row>
    <row r="30" spans="2:9" ht="17.25" thickBot="1" x14ac:dyDescent="0.3">
      <c r="B30" s="505" t="s">
        <v>225</v>
      </c>
      <c r="C30" s="506">
        <v>0</v>
      </c>
      <c r="D30" s="506">
        <v>0</v>
      </c>
      <c r="E30" s="506">
        <v>1</v>
      </c>
      <c r="G30" s="158">
        <v>52</v>
      </c>
      <c r="I30" s="158">
        <v>47</v>
      </c>
    </row>
    <row r="31" spans="2:9" ht="18" x14ac:dyDescent="0.25">
      <c r="B31" s="311"/>
      <c r="C31" s="311"/>
      <c r="D31" s="311"/>
      <c r="E31" s="311"/>
    </row>
    <row r="32" spans="2:9" ht="60.75" customHeight="1" x14ac:dyDescent="0.2">
      <c r="B32" s="923" t="s">
        <v>294</v>
      </c>
      <c r="C32" s="923"/>
      <c r="D32" s="923"/>
      <c r="E32" s="923"/>
    </row>
    <row r="35" spans="1:5" ht="15.75" hidden="1" x14ac:dyDescent="0.25">
      <c r="C35" s="165">
        <v>2016</v>
      </c>
      <c r="D35" s="165">
        <v>2017</v>
      </c>
      <c r="E35" s="165">
        <v>2018</v>
      </c>
    </row>
    <row r="36" spans="1:5" ht="15.75" hidden="1" x14ac:dyDescent="0.2">
      <c r="B36" s="159" t="s">
        <v>230</v>
      </c>
    </row>
    <row r="37" spans="1:5" ht="15.75" hidden="1" x14ac:dyDescent="0.25">
      <c r="A37" s="166" t="s">
        <v>232</v>
      </c>
      <c r="B37" s="160" t="s">
        <v>131</v>
      </c>
    </row>
    <row r="38" spans="1:5" hidden="1" x14ac:dyDescent="0.2">
      <c r="A38" s="166">
        <v>100</v>
      </c>
      <c r="B38" s="63" t="s">
        <v>233</v>
      </c>
    </row>
    <row r="39" spans="1:5" hidden="1" x14ac:dyDescent="0.2">
      <c r="B39" s="63" t="s">
        <v>234</v>
      </c>
    </row>
    <row r="40" spans="1:5" hidden="1" x14ac:dyDescent="0.2">
      <c r="B40" s="63" t="s">
        <v>235</v>
      </c>
    </row>
    <row r="41" spans="1:5" hidden="1" x14ac:dyDescent="0.2">
      <c r="B41" s="63" t="s">
        <v>236</v>
      </c>
    </row>
    <row r="42" spans="1:5" hidden="1" x14ac:dyDescent="0.2">
      <c r="B42" s="63" t="s">
        <v>237</v>
      </c>
    </row>
    <row r="43" spans="1:5" hidden="1" x14ac:dyDescent="0.2">
      <c r="B43" s="63" t="s">
        <v>238</v>
      </c>
    </row>
    <row r="44" spans="1:5" hidden="1" x14ac:dyDescent="0.2">
      <c r="B44" s="63" t="s">
        <v>239</v>
      </c>
    </row>
    <row r="45" spans="1:5" hidden="1" x14ac:dyDescent="0.2">
      <c r="B45" s="63" t="s">
        <v>244</v>
      </c>
    </row>
    <row r="46" spans="1:5" hidden="1" x14ac:dyDescent="0.2">
      <c r="B46" s="63" t="s">
        <v>240</v>
      </c>
    </row>
    <row r="47" spans="1:5" hidden="1" x14ac:dyDescent="0.2">
      <c r="B47" s="63" t="s">
        <v>241</v>
      </c>
    </row>
    <row r="48" spans="1:5" hidden="1" x14ac:dyDescent="0.2">
      <c r="B48" s="63"/>
    </row>
    <row r="49" spans="2:2" hidden="1" x14ac:dyDescent="0.2">
      <c r="B49" s="63"/>
    </row>
    <row r="50" spans="2:2" ht="15.75" hidden="1" x14ac:dyDescent="0.25">
      <c r="B50" s="160" t="s">
        <v>132</v>
      </c>
    </row>
    <row r="51" spans="2:2" hidden="1" x14ac:dyDescent="0.2">
      <c r="B51" s="63" t="s">
        <v>234</v>
      </c>
    </row>
    <row r="52" spans="2:2" hidden="1" x14ac:dyDescent="0.2">
      <c r="B52" s="63" t="s">
        <v>236</v>
      </c>
    </row>
    <row r="53" spans="2:2" hidden="1" x14ac:dyDescent="0.2">
      <c r="B53" s="63" t="s">
        <v>237</v>
      </c>
    </row>
    <row r="54" spans="2:2" hidden="1" x14ac:dyDescent="0.2">
      <c r="B54" s="63" t="s">
        <v>238</v>
      </c>
    </row>
    <row r="55" spans="2:2" hidden="1" x14ac:dyDescent="0.2">
      <c r="B55" s="63" t="s">
        <v>239</v>
      </c>
    </row>
    <row r="56" spans="2:2" hidden="1" x14ac:dyDescent="0.2">
      <c r="B56" s="63" t="s">
        <v>244</v>
      </c>
    </row>
    <row r="57" spans="2:2" hidden="1" x14ac:dyDescent="0.2">
      <c r="B57" s="63" t="s">
        <v>240</v>
      </c>
    </row>
    <row r="58" spans="2:2" hidden="1" x14ac:dyDescent="0.2">
      <c r="B58" s="63" t="s">
        <v>241</v>
      </c>
    </row>
    <row r="59" spans="2:2" hidden="1" x14ac:dyDescent="0.2">
      <c r="B59" s="63"/>
    </row>
    <row r="60" spans="2:2" hidden="1" x14ac:dyDescent="0.2">
      <c r="B60" s="63"/>
    </row>
    <row r="61" spans="2:2" hidden="1" x14ac:dyDescent="0.2">
      <c r="B61" s="63"/>
    </row>
    <row r="62" spans="2:2" ht="15.75" hidden="1" x14ac:dyDescent="0.25">
      <c r="B62" s="161" t="s">
        <v>48</v>
      </c>
    </row>
    <row r="63" spans="2:2" ht="15.75" hidden="1" x14ac:dyDescent="0.25">
      <c r="B63" s="160" t="s">
        <v>229</v>
      </c>
    </row>
    <row r="64" spans="2:2" hidden="1" x14ac:dyDescent="0.2">
      <c r="B64" s="63" t="s">
        <v>242</v>
      </c>
    </row>
    <row r="65" spans="2:2" hidden="1" x14ac:dyDescent="0.2">
      <c r="B65" s="63" t="s">
        <v>243</v>
      </c>
    </row>
    <row r="66" spans="2:2" hidden="1" x14ac:dyDescent="0.2">
      <c r="B66" s="63" t="s">
        <v>237</v>
      </c>
    </row>
    <row r="67" spans="2:2" hidden="1" x14ac:dyDescent="0.2">
      <c r="B67" s="63" t="s">
        <v>238</v>
      </c>
    </row>
    <row r="68" spans="2:2" hidden="1" x14ac:dyDescent="0.2">
      <c r="B68" s="63" t="s">
        <v>239</v>
      </c>
    </row>
    <row r="69" spans="2:2" hidden="1" x14ac:dyDescent="0.2">
      <c r="B69" s="63" t="s">
        <v>244</v>
      </c>
    </row>
    <row r="70" spans="2:2" hidden="1" x14ac:dyDescent="0.2">
      <c r="B70" s="63" t="s">
        <v>240</v>
      </c>
    </row>
    <row r="71" spans="2:2" hidden="1" x14ac:dyDescent="0.2">
      <c r="B71" s="63" t="s">
        <v>241</v>
      </c>
    </row>
    <row r="72" spans="2:2" hidden="1" x14ac:dyDescent="0.2">
      <c r="B72" s="63"/>
    </row>
    <row r="73" spans="2:2" ht="15.75" hidden="1" x14ac:dyDescent="0.25">
      <c r="B73" s="161" t="s">
        <v>101</v>
      </c>
    </row>
    <row r="74" spans="2:2" ht="15.75" hidden="1" x14ac:dyDescent="0.25">
      <c r="B74" s="160"/>
    </row>
    <row r="75" spans="2:2" ht="15.75" hidden="1" x14ac:dyDescent="0.25">
      <c r="B75" s="160" t="s">
        <v>51</v>
      </c>
    </row>
    <row r="76" spans="2:2" hidden="1" x14ac:dyDescent="0.2">
      <c r="B76" s="63" t="s">
        <v>245</v>
      </c>
    </row>
    <row r="77" spans="2:2" hidden="1" x14ac:dyDescent="0.2">
      <c r="B77" s="63" t="s">
        <v>246</v>
      </c>
    </row>
    <row r="78" spans="2:2" hidden="1" x14ac:dyDescent="0.2">
      <c r="B78" s="63" t="s">
        <v>247</v>
      </c>
    </row>
    <row r="79" spans="2:2" hidden="1" x14ac:dyDescent="0.2">
      <c r="B79" s="63" t="s">
        <v>248</v>
      </c>
    </row>
    <row r="80" spans="2:2" hidden="1" x14ac:dyDescent="0.2">
      <c r="B80" s="63" t="s">
        <v>249</v>
      </c>
    </row>
    <row r="81" spans="2:2" hidden="1" x14ac:dyDescent="0.2">
      <c r="B81" s="63" t="s">
        <v>250</v>
      </c>
    </row>
    <row r="82" spans="2:2" hidden="1" x14ac:dyDescent="0.2">
      <c r="B82" s="63" t="s">
        <v>251</v>
      </c>
    </row>
    <row r="83" spans="2:2" hidden="1" x14ac:dyDescent="0.2">
      <c r="B83" s="63" t="s">
        <v>252</v>
      </c>
    </row>
    <row r="84" spans="2:2" hidden="1" x14ac:dyDescent="0.2">
      <c r="B84" s="63" t="s">
        <v>253</v>
      </c>
    </row>
    <row r="85" spans="2:2" hidden="1" x14ac:dyDescent="0.2">
      <c r="B85" s="63" t="s">
        <v>13</v>
      </c>
    </row>
    <row r="86" spans="2:2" ht="15.75" hidden="1" x14ac:dyDescent="0.25">
      <c r="B86" s="162" t="s">
        <v>52</v>
      </c>
    </row>
    <row r="87" spans="2:2" ht="15.75" hidden="1" x14ac:dyDescent="0.25">
      <c r="B87" s="163"/>
    </row>
    <row r="88" spans="2:2" ht="15.75" hidden="1" x14ac:dyDescent="0.25">
      <c r="B88" s="164" t="s">
        <v>212</v>
      </c>
    </row>
  </sheetData>
  <mergeCells count="10">
    <mergeCell ref="B5:E5"/>
    <mergeCell ref="B32:E32"/>
    <mergeCell ref="A1:N1"/>
    <mergeCell ref="A2:N2"/>
    <mergeCell ref="B12:E12"/>
    <mergeCell ref="B17:E17"/>
    <mergeCell ref="B9:E9"/>
    <mergeCell ref="B21:E21"/>
    <mergeCell ref="B3:E3"/>
    <mergeCell ref="B4:E4"/>
  </mergeCells>
  <pageMargins left="0.7" right="0.7" top="0.75" bottom="0.75" header="0.3" footer="0.3"/>
  <pageSetup scale="5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6919E-E051-4B7F-A290-E413EA2E4402}">
  <sheetPr>
    <tabColor theme="9" tint="0.39997558519241921"/>
    <pageSetUpPr fitToPage="1"/>
  </sheetPr>
  <dimension ref="B2:U50"/>
  <sheetViews>
    <sheetView showGridLines="0" topLeftCell="A13" zoomScale="80" zoomScaleNormal="80" workbookViewId="0">
      <selection activeCell="D30" sqref="D30"/>
    </sheetView>
  </sheetViews>
  <sheetFormatPr defaultRowHeight="12.75" x14ac:dyDescent="0.2"/>
  <cols>
    <col min="2" max="2" width="38.42578125" customWidth="1"/>
    <col min="3" max="3" width="3.5703125" customWidth="1"/>
    <col min="4" max="4" width="17" customWidth="1"/>
    <col min="5" max="5" width="16" customWidth="1"/>
    <col min="6" max="6" width="18" customWidth="1"/>
    <col min="7" max="7" width="18.140625" customWidth="1"/>
    <col min="8" max="8" width="16.5703125" customWidth="1"/>
    <col min="9" max="9" width="13.140625" customWidth="1"/>
    <col min="10" max="10" width="12.28515625" customWidth="1"/>
    <col min="14" max="14" width="3.28515625" customWidth="1"/>
    <col min="15" max="15" width="4.5703125" customWidth="1"/>
    <col min="16" max="16" width="11.28515625" hidden="1" customWidth="1"/>
    <col min="17" max="19" width="9.140625" hidden="1" customWidth="1"/>
    <col min="20" max="20" width="16.42578125" hidden="1" customWidth="1"/>
    <col min="21" max="21" width="9.140625" hidden="1" customWidth="1"/>
    <col min="22" max="23" width="9.140625" customWidth="1"/>
  </cols>
  <sheetData>
    <row r="2" spans="2:19" ht="47.25" customHeight="1" x14ac:dyDescent="0.35">
      <c r="B2" s="868" t="s">
        <v>327</v>
      </c>
      <c r="C2" s="869"/>
      <c r="D2" s="869"/>
      <c r="E2" s="869"/>
      <c r="F2" s="869"/>
      <c r="G2" s="869"/>
      <c r="H2" s="869"/>
      <c r="I2" s="869"/>
      <c r="J2" s="869"/>
      <c r="K2" s="869"/>
      <c r="L2" s="869"/>
      <c r="M2" s="869"/>
      <c r="N2" s="869"/>
      <c r="O2" s="869"/>
    </row>
    <row r="3" spans="2:19" ht="23.25" x14ac:dyDescent="0.35">
      <c r="B3" s="869" t="s">
        <v>143</v>
      </c>
      <c r="C3" s="869"/>
      <c r="D3" s="869"/>
      <c r="E3" s="869"/>
      <c r="F3" s="869"/>
      <c r="G3" s="869"/>
      <c r="H3" s="869"/>
      <c r="I3" s="869"/>
      <c r="J3" s="869"/>
      <c r="K3" s="869"/>
      <c r="L3" s="869"/>
      <c r="M3" s="869"/>
      <c r="N3" s="869"/>
      <c r="O3" s="869"/>
    </row>
    <row r="4" spans="2:19" x14ac:dyDescent="0.2">
      <c r="P4" s="113" t="s">
        <v>172</v>
      </c>
      <c r="Q4" s="48"/>
      <c r="R4" s="17"/>
      <c r="S4" s="17"/>
    </row>
    <row r="5" spans="2:19" x14ac:dyDescent="0.2">
      <c r="P5" s="49"/>
      <c r="Q5" s="20"/>
      <c r="R5" s="13"/>
      <c r="S5" s="13"/>
    </row>
    <row r="6" spans="2:19" x14ac:dyDescent="0.2">
      <c r="P6" s="49" t="s">
        <v>54</v>
      </c>
      <c r="Q6" s="20">
        <v>0.2</v>
      </c>
      <c r="R6" s="13"/>
      <c r="S6" s="13"/>
    </row>
    <row r="7" spans="2:19" x14ac:dyDescent="0.2">
      <c r="P7" s="49" t="s">
        <v>6</v>
      </c>
      <c r="Q7" s="20">
        <v>0.8</v>
      </c>
      <c r="R7" s="13"/>
      <c r="S7" s="13"/>
    </row>
    <row r="8" spans="2:19" x14ac:dyDescent="0.2">
      <c r="P8" s="49"/>
      <c r="Q8" s="20"/>
      <c r="R8" s="13"/>
      <c r="S8" s="13"/>
    </row>
    <row r="9" spans="2:19" x14ac:dyDescent="0.2">
      <c r="P9" s="13"/>
      <c r="Q9" s="13"/>
      <c r="R9" s="13"/>
      <c r="S9" s="13"/>
    </row>
    <row r="10" spans="2:19" x14ac:dyDescent="0.2">
      <c r="P10" s="113" t="s">
        <v>173</v>
      </c>
      <c r="Q10" s="17"/>
      <c r="R10" s="17"/>
      <c r="S10" s="17"/>
    </row>
    <row r="11" spans="2:19" x14ac:dyDescent="0.2">
      <c r="P11" s="13"/>
      <c r="Q11" s="13"/>
      <c r="R11" s="13"/>
      <c r="S11" s="13"/>
    </row>
    <row r="12" spans="2:19" x14ac:dyDescent="0.2">
      <c r="P12" s="13" t="s">
        <v>55</v>
      </c>
      <c r="Q12" s="20">
        <v>0.45400000000000001</v>
      </c>
      <c r="R12" s="13"/>
      <c r="S12" s="13"/>
    </row>
    <row r="13" spans="2:19" x14ac:dyDescent="0.2">
      <c r="P13" s="13" t="s">
        <v>56</v>
      </c>
      <c r="Q13" s="20">
        <v>0.54600000000000004</v>
      </c>
      <c r="R13" s="13"/>
      <c r="S13" s="13"/>
    </row>
    <row r="14" spans="2:19" x14ac:dyDescent="0.2">
      <c r="P14" s="13"/>
      <c r="Q14" s="13"/>
      <c r="R14" s="13"/>
      <c r="S14" s="13"/>
    </row>
    <row r="16" spans="2:19" x14ac:dyDescent="0.2">
      <c r="P16" s="114" t="s">
        <v>174</v>
      </c>
      <c r="Q16" s="50"/>
      <c r="R16" s="51"/>
      <c r="S16" s="51"/>
    </row>
    <row r="17" spans="2:21" x14ac:dyDescent="0.2">
      <c r="P17" s="49"/>
      <c r="Q17" s="20"/>
      <c r="R17" s="13"/>
      <c r="S17" s="13"/>
    </row>
    <row r="18" spans="2:21" x14ac:dyDescent="0.2">
      <c r="P18" s="49" t="s">
        <v>54</v>
      </c>
      <c r="Q18" s="20">
        <v>0.33700000000000002</v>
      </c>
      <c r="R18" s="13"/>
      <c r="S18" s="13"/>
    </row>
    <row r="19" spans="2:21" x14ac:dyDescent="0.2">
      <c r="P19" s="49" t="s">
        <v>6</v>
      </c>
      <c r="Q19" s="20">
        <v>0.66400000000000003</v>
      </c>
      <c r="R19" s="13"/>
      <c r="S19" s="13"/>
    </row>
    <row r="20" spans="2:21" x14ac:dyDescent="0.2">
      <c r="P20" s="49"/>
      <c r="Q20" s="20"/>
      <c r="R20" s="13"/>
      <c r="S20" s="13"/>
    </row>
    <row r="21" spans="2:21" x14ac:dyDescent="0.2">
      <c r="P21" s="13"/>
      <c r="Q21" s="13"/>
      <c r="R21" s="13"/>
      <c r="S21" s="13"/>
    </row>
    <row r="22" spans="2:21" x14ac:dyDescent="0.2">
      <c r="P22" s="114" t="s">
        <v>175</v>
      </c>
      <c r="Q22" s="51"/>
      <c r="R22" s="51"/>
      <c r="S22" s="51"/>
    </row>
    <row r="23" spans="2:21" x14ac:dyDescent="0.2">
      <c r="P23" s="13"/>
      <c r="Q23" s="13"/>
      <c r="R23" s="13"/>
      <c r="S23" s="13"/>
    </row>
    <row r="24" spans="2:21" ht="13.5" customHeight="1" x14ac:dyDescent="0.2">
      <c r="P24" s="13" t="s">
        <v>55</v>
      </c>
      <c r="Q24" s="20">
        <v>0.45400000000000001</v>
      </c>
      <c r="R24" s="13"/>
      <c r="S24" s="13"/>
    </row>
    <row r="25" spans="2:21" ht="13.5" customHeight="1" x14ac:dyDescent="0.2">
      <c r="P25" s="13" t="s">
        <v>56</v>
      </c>
      <c r="Q25" s="20">
        <v>0.54600000000000004</v>
      </c>
      <c r="R25" s="13"/>
      <c r="S25" s="13"/>
    </row>
    <row r="26" spans="2:21" s="4" customFormat="1" ht="13.5" customHeight="1" x14ac:dyDescent="0.2">
      <c r="P26"/>
      <c r="Q26"/>
      <c r="R26"/>
      <c r="S26"/>
      <c r="T26"/>
      <c r="U26"/>
    </row>
    <row r="27" spans="2:21" s="4" customFormat="1" ht="13.5" customHeight="1" x14ac:dyDescent="0.2">
      <c r="P27"/>
      <c r="Q27"/>
      <c r="R27"/>
      <c r="S27"/>
      <c r="T27"/>
      <c r="U27"/>
    </row>
    <row r="28" spans="2:21" ht="13.5" thickBot="1" x14ac:dyDescent="0.25">
      <c r="G28" t="s">
        <v>135</v>
      </c>
      <c r="P28" s="10" t="s">
        <v>57</v>
      </c>
      <c r="U28" s="52" t="s">
        <v>53</v>
      </c>
    </row>
    <row r="29" spans="2:21" ht="78" customHeight="1" x14ac:dyDescent="0.2">
      <c r="B29" s="508" t="s">
        <v>47</v>
      </c>
      <c r="C29" s="928" t="s">
        <v>328</v>
      </c>
      <c r="D29" s="929"/>
      <c r="E29" s="508" t="s">
        <v>215</v>
      </c>
      <c r="F29" s="508" t="s">
        <v>287</v>
      </c>
      <c r="G29" s="508" t="s">
        <v>284</v>
      </c>
      <c r="H29" s="508" t="s">
        <v>42</v>
      </c>
      <c r="I29" s="62"/>
      <c r="J29" s="61" t="s">
        <v>13</v>
      </c>
      <c r="P29" s="4" t="s">
        <v>58</v>
      </c>
      <c r="Q29" s="4"/>
      <c r="T29" s="6">
        <f>SUM(U29)*$T$33</f>
        <v>28273136.080000002</v>
      </c>
      <c r="U29" s="77">
        <f>G33+G34</f>
        <v>0.56000000000000005</v>
      </c>
    </row>
    <row r="30" spans="2:21" ht="28.5" customHeight="1" x14ac:dyDescent="0.25">
      <c r="B30" s="476" t="s">
        <v>283</v>
      </c>
      <c r="C30" s="477"/>
      <c r="D30" s="513">
        <f>'ES CT Electric Table A  '!G14+'ES CT Electric Table A  '!G30*50%+'ES CT Electric Table A  '!G34+'ES CT Electric Table A  '!G11*12%+'ES CT Electric Table A  '!G24*12%+'ES CT Electric Table A  '!G31*0.8*12%</f>
        <v>21848247.01368</v>
      </c>
      <c r="E30" s="479">
        <f>D30/D44</f>
        <v>0.13414436318796019</v>
      </c>
      <c r="F30" s="480">
        <f>D30/D38</f>
        <v>0.14727272150235987</v>
      </c>
      <c r="G30" s="479">
        <v>0.12</v>
      </c>
      <c r="H30" s="480">
        <f>F30-G30</f>
        <v>2.7272721502359876E-2</v>
      </c>
      <c r="I30" s="930"/>
      <c r="J30" s="930"/>
      <c r="P30" s="4" t="s">
        <v>49</v>
      </c>
      <c r="Q30" s="4"/>
      <c r="T30" s="6" t="e">
        <f>SUM(U30)*$T$33</f>
        <v>#REF!</v>
      </c>
      <c r="U30" s="53" t="e">
        <f>#REF!</f>
        <v>#REF!</v>
      </c>
    </row>
    <row r="31" spans="2:21" ht="24" customHeight="1" x14ac:dyDescent="0.25">
      <c r="B31" s="476" t="s">
        <v>288</v>
      </c>
      <c r="C31" s="477"/>
      <c r="D31" s="513">
        <f>'ES CT Electric Table A  '!G50-D30</f>
        <v>60787072.304320008</v>
      </c>
      <c r="E31" s="479">
        <f>D31/D44</f>
        <v>0.37322184700758027</v>
      </c>
      <c r="F31" s="480">
        <f>D31/D38</f>
        <v>0.40974809396893858</v>
      </c>
      <c r="G31" s="479">
        <v>0.32</v>
      </c>
      <c r="H31" s="480">
        <f>F31-G31</f>
        <v>8.9748093968938569E-2</v>
      </c>
      <c r="I31" s="550"/>
      <c r="J31" s="94"/>
      <c r="K31" s="37"/>
      <c r="L31" s="37"/>
      <c r="M31" s="37"/>
      <c r="N31" s="37"/>
      <c r="P31" s="4" t="s">
        <v>59</v>
      </c>
      <c r="Q31" s="4"/>
      <c r="T31" s="6" t="e">
        <f>SUM(U31)*$T$33</f>
        <v>#REF!</v>
      </c>
      <c r="U31" s="53" t="e">
        <f>#REF!</f>
        <v>#REF!</v>
      </c>
    </row>
    <row r="32" spans="2:21" ht="17.25" thickBot="1" x14ac:dyDescent="0.3">
      <c r="B32" s="481" t="s">
        <v>48</v>
      </c>
      <c r="C32" s="482"/>
      <c r="D32" s="514">
        <f>SUM(D30:D31)</f>
        <v>82635319.318000004</v>
      </c>
      <c r="E32" s="484">
        <f>SUM(E30:E31)</f>
        <v>0.50736621019554051</v>
      </c>
      <c r="F32" s="484">
        <f>SUM(F30:F31)</f>
        <v>0.55702081547129845</v>
      </c>
      <c r="G32" s="484">
        <f>SUM(G30:G31)</f>
        <v>0.44</v>
      </c>
      <c r="H32" s="484">
        <f>SUM(H30:H31)</f>
        <v>0.11702081547129844</v>
      </c>
      <c r="I32" s="105"/>
      <c r="J32" s="105"/>
      <c r="P32" s="54" t="s">
        <v>60</v>
      </c>
      <c r="Q32" s="4"/>
      <c r="T32" s="55">
        <f>SUM(U32)*$T$33</f>
        <v>22214606.920000002</v>
      </c>
      <c r="U32" s="56">
        <f>G30+G31</f>
        <v>0.44</v>
      </c>
    </row>
    <row r="33" spans="2:21" ht="28.5" customHeight="1" x14ac:dyDescent="0.25">
      <c r="B33" s="476" t="s">
        <v>113</v>
      </c>
      <c r="C33" s="477"/>
      <c r="D33" s="513">
        <f>SUM(Q12*('ES CT Electric Table A  '!G51))</f>
        <v>29835509.388528001</v>
      </c>
      <c r="E33" s="479">
        <f>D33/D44</f>
        <v>0.18318473810766278</v>
      </c>
      <c r="F33" s="480">
        <f>D33/D38</f>
        <v>0.20111254977603046</v>
      </c>
      <c r="G33" s="480">
        <f>E33/E36*G36</f>
        <v>0.25424000000000002</v>
      </c>
      <c r="H33" s="480">
        <f>F33-G33</f>
        <v>-5.3127450223969558E-2</v>
      </c>
      <c r="I33" s="931"/>
      <c r="J33" s="931"/>
      <c r="K33" s="549"/>
      <c r="L33" s="932"/>
      <c r="M33" s="932"/>
      <c r="N33" s="549"/>
      <c r="O33" s="549"/>
      <c r="P33" s="4" t="s">
        <v>9</v>
      </c>
      <c r="Q33" s="4"/>
      <c r="T33" s="6">
        <v>50487743</v>
      </c>
      <c r="U33" s="53" t="e">
        <f>SUM(U29:U32)</f>
        <v>#REF!</v>
      </c>
    </row>
    <row r="34" spans="2:21" ht="24.75" customHeight="1" x14ac:dyDescent="0.25">
      <c r="B34" s="476" t="s">
        <v>112</v>
      </c>
      <c r="C34" s="477"/>
      <c r="D34" s="513">
        <f>'ES CT Electric Table A  '!G51-D33</f>
        <v>35881471.643472001</v>
      </c>
      <c r="E34" s="479">
        <f>D34/D44</f>
        <v>0.22030587446428168</v>
      </c>
      <c r="F34" s="480">
        <f>D34/D38</f>
        <v>0.24186663475267101</v>
      </c>
      <c r="G34" s="480">
        <f>E34/E36*G36</f>
        <v>0.30576000000000003</v>
      </c>
      <c r="H34" s="480">
        <f>F34-G34</f>
        <v>-6.3893365247329026E-2</v>
      </c>
      <c r="I34" s="219"/>
      <c r="J34" s="116"/>
      <c r="L34" s="551"/>
      <c r="M34" s="64"/>
    </row>
    <row r="35" spans="2:21" ht="16.5" x14ac:dyDescent="0.25">
      <c r="B35" s="872"/>
      <c r="C35" s="873"/>
      <c r="D35" s="873"/>
      <c r="E35" s="873"/>
      <c r="F35" s="873"/>
      <c r="G35" s="873"/>
      <c r="H35" s="874"/>
      <c r="I35" s="115"/>
      <c r="J35" s="115"/>
      <c r="L35" s="65"/>
      <c r="M35" s="65"/>
      <c r="T35" s="6"/>
    </row>
    <row r="36" spans="2:21" ht="16.5" x14ac:dyDescent="0.25">
      <c r="B36" s="481" t="s">
        <v>50</v>
      </c>
      <c r="C36" s="482"/>
      <c r="D36" s="483">
        <f>SUM(D33:D35)</f>
        <v>65716981.032000005</v>
      </c>
      <c r="E36" s="484">
        <f>SUM(E33:E35)</f>
        <v>0.40349061257194446</v>
      </c>
      <c r="F36" s="484">
        <f>SUM(F33:F35)</f>
        <v>0.44297918452870144</v>
      </c>
      <c r="G36" s="484">
        <f>1-G32</f>
        <v>0.56000000000000005</v>
      </c>
      <c r="H36" s="484">
        <f>SUM(H33:H35)</f>
        <v>-0.11702081547129858</v>
      </c>
      <c r="I36" s="106"/>
      <c r="J36" s="107"/>
    </row>
    <row r="37" spans="2:21" ht="16.5" x14ac:dyDescent="0.25">
      <c r="B37" s="865"/>
      <c r="C37" s="866"/>
      <c r="D37" s="866"/>
      <c r="E37" s="866"/>
      <c r="F37" s="866"/>
      <c r="G37" s="866"/>
      <c r="H37" s="867"/>
      <c r="I37" s="95"/>
      <c r="J37" s="96"/>
    </row>
    <row r="38" spans="2:21" ht="16.5" x14ac:dyDescent="0.25">
      <c r="B38" s="481" t="s">
        <v>101</v>
      </c>
      <c r="C38" s="482"/>
      <c r="D38" s="483">
        <f>D32+D36</f>
        <v>148352300.35000002</v>
      </c>
      <c r="E38" s="484">
        <f>E32+E36</f>
        <v>0.91085682276748492</v>
      </c>
      <c r="F38" s="484">
        <f>F32+F36</f>
        <v>0.99999999999999989</v>
      </c>
      <c r="G38" s="484">
        <f>G32+G36</f>
        <v>1</v>
      </c>
      <c r="H38" s="484">
        <f>H32+H36</f>
        <v>-1.3877787807814457E-16</v>
      </c>
      <c r="I38" s="95"/>
      <c r="J38" s="96"/>
    </row>
    <row r="39" spans="2:21" ht="16.5" x14ac:dyDescent="0.25">
      <c r="B39" s="872"/>
      <c r="C39" s="873"/>
      <c r="D39" s="873"/>
      <c r="E39" s="873"/>
      <c r="F39" s="873"/>
      <c r="G39" s="873"/>
      <c r="H39" s="874"/>
      <c r="I39" s="97"/>
      <c r="J39" s="98"/>
    </row>
    <row r="40" spans="2:21" s="38" customFormat="1" ht="15" customHeight="1" x14ac:dyDescent="0.25">
      <c r="B40" s="859" t="s">
        <v>51</v>
      </c>
      <c r="C40" s="860"/>
      <c r="D40" s="860"/>
      <c r="E40" s="860"/>
      <c r="F40" s="860"/>
      <c r="G40" s="860"/>
      <c r="H40" s="861"/>
      <c r="I40" s="99"/>
      <c r="J40" s="100"/>
    </row>
    <row r="41" spans="2:21" s="38" customFormat="1" ht="24.75" customHeight="1" x14ac:dyDescent="0.25">
      <c r="B41" s="476" t="s">
        <v>51</v>
      </c>
      <c r="C41" s="477"/>
      <c r="D41" s="509">
        <f>'ES CT Electric Table A  '!G52</f>
        <v>14518852</v>
      </c>
      <c r="E41" s="479">
        <f>D41/D44</f>
        <v>8.914317723251497E-2</v>
      </c>
      <c r="F41" s="485"/>
      <c r="G41" s="486"/>
      <c r="H41" s="486"/>
      <c r="I41" s="99"/>
      <c r="J41" s="100"/>
    </row>
    <row r="42" spans="2:21" s="38" customFormat="1" ht="21" customHeight="1" x14ac:dyDescent="0.25">
      <c r="B42" s="487" t="s">
        <v>52</v>
      </c>
      <c r="C42" s="488"/>
      <c r="D42" s="483">
        <f>SUM(D41)</f>
        <v>14518852</v>
      </c>
      <c r="E42" s="484">
        <f>SUM(E41)</f>
        <v>8.914317723251497E-2</v>
      </c>
      <c r="F42" s="489"/>
      <c r="G42" s="510"/>
      <c r="H42" s="510"/>
      <c r="I42" s="99"/>
      <c r="J42" s="99"/>
    </row>
    <row r="43" spans="2:21" s="38" customFormat="1" ht="16.5" x14ac:dyDescent="0.25">
      <c r="B43" s="862"/>
      <c r="C43" s="863"/>
      <c r="D43" s="863"/>
      <c r="E43" s="863"/>
      <c r="F43" s="863"/>
      <c r="G43" s="863"/>
      <c r="H43" s="864"/>
      <c r="I43" s="99"/>
      <c r="J43" s="99"/>
    </row>
    <row r="44" spans="2:21" s="38" customFormat="1" ht="16.5" x14ac:dyDescent="0.25">
      <c r="B44" s="487" t="s">
        <v>212</v>
      </c>
      <c r="C44" s="488"/>
      <c r="D44" s="490">
        <f>D42+D38</f>
        <v>162871152.35000002</v>
      </c>
      <c r="E44" s="484">
        <f>E38+E42</f>
        <v>0.99999999999999989</v>
      </c>
      <c r="F44" s="511"/>
      <c r="G44" s="511"/>
      <c r="H44" s="511"/>
      <c r="I44" s="99"/>
      <c r="J44" s="99"/>
    </row>
    <row r="45" spans="2:21" s="41" customFormat="1" ht="16.5" x14ac:dyDescent="0.25">
      <c r="B45" s="927"/>
      <c r="C45" s="927"/>
      <c r="D45" s="927"/>
      <c r="E45" s="927"/>
      <c r="F45" s="927"/>
      <c r="G45" s="494"/>
      <c r="H45" s="494"/>
      <c r="I45" s="76"/>
    </row>
    <row r="46" spans="2:21" s="41" customFormat="1" ht="16.5" x14ac:dyDescent="0.25">
      <c r="B46" s="497" t="s">
        <v>295</v>
      </c>
      <c r="C46" s="497"/>
      <c r="D46" s="496"/>
      <c r="E46" s="498"/>
      <c r="F46" s="498"/>
      <c r="G46" s="499"/>
      <c r="H46" s="500"/>
    </row>
    <row r="47" spans="2:21" s="41" customFormat="1" ht="16.5" x14ac:dyDescent="0.25">
      <c r="B47" s="497" t="s">
        <v>286</v>
      </c>
      <c r="C47" s="497"/>
      <c r="D47" s="496"/>
      <c r="E47" s="500"/>
      <c r="F47" s="500"/>
      <c r="G47" s="500"/>
      <c r="H47" s="500"/>
    </row>
    <row r="48" spans="2:21" x14ac:dyDescent="0.2">
      <c r="B48" s="167" t="s">
        <v>13</v>
      </c>
    </row>
    <row r="49" spans="2:8" x14ac:dyDescent="0.2">
      <c r="B49" s="45"/>
      <c r="C49" s="45"/>
      <c r="D49" s="46"/>
      <c r="E49" s="13"/>
      <c r="F49" s="13"/>
      <c r="G49" s="13"/>
      <c r="H49" s="13"/>
    </row>
    <row r="50" spans="2:8" x14ac:dyDescent="0.2">
      <c r="B50" s="13"/>
      <c r="C50" s="13"/>
      <c r="D50" s="47"/>
      <c r="E50" s="13"/>
      <c r="F50" s="13"/>
      <c r="G50" s="13"/>
      <c r="H50" s="13"/>
    </row>
  </sheetData>
  <mergeCells count="12">
    <mergeCell ref="B45:F45"/>
    <mergeCell ref="B2:O2"/>
    <mergeCell ref="B3:O3"/>
    <mergeCell ref="C29:D29"/>
    <mergeCell ref="I30:J30"/>
    <mergeCell ref="I33:J33"/>
    <mergeCell ref="L33:M33"/>
    <mergeCell ref="B35:H35"/>
    <mergeCell ref="B37:H37"/>
    <mergeCell ref="B39:H39"/>
    <mergeCell ref="B40:H40"/>
    <mergeCell ref="B43:H43"/>
  </mergeCells>
  <pageMargins left="0.75" right="0.75" top="1" bottom="1" header="0.5" footer="0.5"/>
  <pageSetup scale="57" orientation="landscape"/>
  <headerFooter alignWithMargins="0">
    <oddFooter xml:space="preserve">&amp;CTotals may vary due to rounding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B2:U51"/>
  <sheetViews>
    <sheetView showGridLines="0" zoomScale="80" zoomScaleNormal="80" workbookViewId="0">
      <selection activeCell="D30" sqref="D30"/>
    </sheetView>
  </sheetViews>
  <sheetFormatPr defaultRowHeight="12.75" x14ac:dyDescent="0.2"/>
  <cols>
    <col min="2" max="2" width="38.42578125" customWidth="1"/>
    <col min="3" max="3" width="3.5703125" customWidth="1"/>
    <col min="4" max="4" width="17" customWidth="1"/>
    <col min="5" max="5" width="16" customWidth="1"/>
    <col min="6" max="6" width="18" customWidth="1"/>
    <col min="7" max="7" width="18.140625" customWidth="1"/>
    <col min="8" max="8" width="16.5703125" customWidth="1"/>
    <col min="9" max="9" width="13.140625" customWidth="1"/>
    <col min="10" max="10" width="12.28515625" customWidth="1"/>
    <col min="14" max="14" width="3.28515625" customWidth="1"/>
    <col min="15" max="15" width="4.5703125" customWidth="1"/>
    <col min="16" max="16" width="11.28515625" hidden="1" customWidth="1"/>
    <col min="17" max="19" width="9.140625" hidden="1" customWidth="1"/>
    <col min="20" max="20" width="16.42578125" hidden="1" customWidth="1"/>
    <col min="21" max="21" width="9.140625" hidden="1" customWidth="1"/>
    <col min="22" max="23" width="9.140625" customWidth="1"/>
  </cols>
  <sheetData>
    <row r="2" spans="2:19" ht="47.25" customHeight="1" x14ac:dyDescent="0.35">
      <c r="B2" s="868" t="s">
        <v>402</v>
      </c>
      <c r="C2" s="869"/>
      <c r="D2" s="869"/>
      <c r="E2" s="869"/>
      <c r="F2" s="869"/>
      <c r="G2" s="869"/>
      <c r="H2" s="869"/>
      <c r="I2" s="869"/>
      <c r="J2" s="869"/>
      <c r="K2" s="869"/>
      <c r="L2" s="869"/>
      <c r="M2" s="869"/>
      <c r="N2" s="869"/>
      <c r="O2" s="869"/>
    </row>
    <row r="3" spans="2:19" ht="23.25" x14ac:dyDescent="0.35">
      <c r="B3" s="869" t="s">
        <v>143</v>
      </c>
      <c r="C3" s="869"/>
      <c r="D3" s="869"/>
      <c r="E3" s="869"/>
      <c r="F3" s="869"/>
      <c r="G3" s="869"/>
      <c r="H3" s="869"/>
      <c r="I3" s="869"/>
      <c r="J3" s="869"/>
      <c r="K3" s="869"/>
      <c r="L3" s="869"/>
      <c r="M3" s="869"/>
      <c r="N3" s="869"/>
      <c r="O3" s="869"/>
    </row>
    <row r="4" spans="2:19" x14ac:dyDescent="0.2">
      <c r="P4" s="113" t="s">
        <v>172</v>
      </c>
      <c r="Q4" s="48"/>
      <c r="R4" s="17"/>
      <c r="S4" s="17"/>
    </row>
    <row r="5" spans="2:19" x14ac:dyDescent="0.2">
      <c r="P5" s="49"/>
      <c r="Q5" s="20"/>
      <c r="R5" s="13"/>
      <c r="S5" s="13"/>
    </row>
    <row r="6" spans="2:19" x14ac:dyDescent="0.2">
      <c r="P6" s="49" t="s">
        <v>54</v>
      </c>
      <c r="Q6" s="20">
        <v>0.2</v>
      </c>
      <c r="R6" s="13"/>
      <c r="S6" s="13"/>
    </row>
    <row r="7" spans="2:19" x14ac:dyDescent="0.2">
      <c r="P7" s="49" t="s">
        <v>6</v>
      </c>
      <c r="Q7" s="20">
        <v>0.8</v>
      </c>
      <c r="R7" s="13"/>
      <c r="S7" s="13"/>
    </row>
    <row r="8" spans="2:19" x14ac:dyDescent="0.2">
      <c r="P8" s="49"/>
      <c r="Q8" s="20"/>
      <c r="R8" s="13"/>
      <c r="S8" s="13"/>
    </row>
    <row r="9" spans="2:19" x14ac:dyDescent="0.2">
      <c r="P9" s="13"/>
      <c r="Q9" s="13"/>
      <c r="R9" s="13"/>
      <c r="S9" s="13"/>
    </row>
    <row r="10" spans="2:19" x14ac:dyDescent="0.2">
      <c r="P10" s="113" t="s">
        <v>173</v>
      </c>
      <c r="Q10" s="17"/>
      <c r="R10" s="17"/>
      <c r="S10" s="17"/>
    </row>
    <row r="11" spans="2:19" x14ac:dyDescent="0.2">
      <c r="P11" s="13"/>
      <c r="Q11" s="13"/>
      <c r="R11" s="13"/>
      <c r="S11" s="13"/>
    </row>
    <row r="12" spans="2:19" ht="18" x14ac:dyDescent="0.25">
      <c r="P12" s="13" t="s">
        <v>55</v>
      </c>
      <c r="Q12" s="562">
        <v>0.45400000000000001</v>
      </c>
      <c r="R12" s="13"/>
      <c r="S12" s="13"/>
    </row>
    <row r="13" spans="2:19" x14ac:dyDescent="0.2">
      <c r="P13" s="13" t="s">
        <v>56</v>
      </c>
      <c r="Q13" s="20">
        <v>0.54600000000000004</v>
      </c>
      <c r="R13" s="13"/>
      <c r="S13" s="13"/>
    </row>
    <row r="14" spans="2:19" x14ac:dyDescent="0.2">
      <c r="P14" s="13"/>
      <c r="Q14" s="13"/>
      <c r="R14" s="13"/>
      <c r="S14" s="13"/>
    </row>
    <row r="16" spans="2:19" x14ac:dyDescent="0.2">
      <c r="P16" s="114" t="s">
        <v>174</v>
      </c>
      <c r="Q16" s="50"/>
      <c r="R16" s="51"/>
      <c r="S16" s="51"/>
    </row>
    <row r="17" spans="2:21" x14ac:dyDescent="0.2">
      <c r="P17" s="49"/>
      <c r="Q17" s="20"/>
      <c r="R17" s="13"/>
      <c r="S17" s="13"/>
    </row>
    <row r="18" spans="2:21" x14ac:dyDescent="0.2">
      <c r="P18" s="49" t="s">
        <v>54</v>
      </c>
      <c r="Q18" s="20">
        <v>0.33700000000000002</v>
      </c>
      <c r="R18" s="13"/>
      <c r="S18" s="13"/>
    </row>
    <row r="19" spans="2:21" x14ac:dyDescent="0.2">
      <c r="P19" s="49" t="s">
        <v>6</v>
      </c>
      <c r="Q19" s="20">
        <v>0.66400000000000003</v>
      </c>
      <c r="R19" s="13"/>
      <c r="S19" s="13"/>
    </row>
    <row r="20" spans="2:21" x14ac:dyDescent="0.2">
      <c r="P20" s="49"/>
      <c r="Q20" s="20"/>
      <c r="R20" s="13"/>
      <c r="S20" s="13"/>
    </row>
    <row r="21" spans="2:21" x14ac:dyDescent="0.2">
      <c r="P21" s="13"/>
      <c r="Q21" s="13"/>
      <c r="R21" s="13"/>
      <c r="S21" s="13"/>
    </row>
    <row r="22" spans="2:21" x14ac:dyDescent="0.2">
      <c r="P22" s="114" t="s">
        <v>175</v>
      </c>
      <c r="Q22" s="51"/>
      <c r="R22" s="51"/>
      <c r="S22" s="51"/>
    </row>
    <row r="23" spans="2:21" x14ac:dyDescent="0.2">
      <c r="P23" s="13"/>
      <c r="Q23" s="13"/>
      <c r="R23" s="13"/>
      <c r="S23" s="13"/>
    </row>
    <row r="24" spans="2:21" ht="13.5" customHeight="1" x14ac:dyDescent="0.2">
      <c r="P24" s="13" t="s">
        <v>55</v>
      </c>
      <c r="Q24" s="20">
        <v>0.45400000000000001</v>
      </c>
      <c r="R24" s="13"/>
      <c r="S24" s="13"/>
    </row>
    <row r="25" spans="2:21" ht="13.5" customHeight="1" x14ac:dyDescent="0.2">
      <c r="P25" s="13" t="s">
        <v>56</v>
      </c>
      <c r="Q25" s="20">
        <v>0.54600000000000004</v>
      </c>
      <c r="R25" s="13"/>
      <c r="S25" s="13"/>
    </row>
    <row r="26" spans="2:21" s="4" customFormat="1" ht="13.5" customHeight="1" x14ac:dyDescent="0.2">
      <c r="P26"/>
      <c r="Q26"/>
      <c r="R26"/>
      <c r="S26"/>
      <c r="T26"/>
      <c r="U26"/>
    </row>
    <row r="27" spans="2:21" s="4" customFormat="1" ht="13.5" customHeight="1" x14ac:dyDescent="0.2">
      <c r="P27"/>
      <c r="Q27"/>
      <c r="R27"/>
      <c r="S27"/>
      <c r="T27"/>
      <c r="U27"/>
    </row>
    <row r="28" spans="2:21" ht="13.5" thickBot="1" x14ac:dyDescent="0.25">
      <c r="G28" t="s">
        <v>135</v>
      </c>
      <c r="P28" s="10" t="s">
        <v>57</v>
      </c>
      <c r="U28" s="52" t="s">
        <v>53</v>
      </c>
    </row>
    <row r="29" spans="2:21" ht="78" customHeight="1" x14ac:dyDescent="0.2">
      <c r="B29" s="508" t="s">
        <v>47</v>
      </c>
      <c r="C29" s="870" t="s">
        <v>481</v>
      </c>
      <c r="D29" s="871"/>
      <c r="E29" s="508" t="s">
        <v>215</v>
      </c>
      <c r="F29" s="508" t="s">
        <v>287</v>
      </c>
      <c r="G29" s="508" t="s">
        <v>284</v>
      </c>
      <c r="H29" s="508" t="s">
        <v>42</v>
      </c>
      <c r="I29" s="62"/>
      <c r="J29" s="61" t="s">
        <v>13</v>
      </c>
      <c r="P29" s="4" t="s">
        <v>58</v>
      </c>
      <c r="Q29" s="4"/>
      <c r="T29" s="6">
        <f>SUM(U29)*$T$33</f>
        <v>26092065.582399998</v>
      </c>
      <c r="U29" s="77">
        <f>G33+G34</f>
        <v>0.51679999999999993</v>
      </c>
    </row>
    <row r="30" spans="2:21" ht="28.5" customHeight="1" x14ac:dyDescent="0.25">
      <c r="B30" s="476" t="s">
        <v>283</v>
      </c>
      <c r="C30" s="477"/>
      <c r="D30" s="513">
        <f>'ES CT Electric Table A  '!J14+'ES CT Electric Table A  '!J30*50%+'ES CT Electric Table A  '!J34*25%+'ES CT Electric Table A  '!J11*11%+'ES CT Electric Table A  '!J24*11%+'ES CT Electric Table A  '!J31*0.8*11%</f>
        <v>20361362.803768862</v>
      </c>
      <c r="E30" s="479">
        <f>D30/D44</f>
        <v>0.12345398939853691</v>
      </c>
      <c r="F30" s="480">
        <f>D30/D38</f>
        <v>0.13599229777389446</v>
      </c>
      <c r="G30" s="479">
        <v>0.125</v>
      </c>
      <c r="H30" s="480">
        <f>F30-G30</f>
        <v>1.099229777389446E-2</v>
      </c>
      <c r="I30" s="930"/>
      <c r="J30" s="930"/>
      <c r="P30" s="4" t="s">
        <v>49</v>
      </c>
      <c r="Q30" s="4"/>
      <c r="T30" s="6" t="e">
        <f>SUM(U30)*$T$33</f>
        <v>#REF!</v>
      </c>
      <c r="U30" s="53" t="e">
        <f>#REF!</f>
        <v>#REF!</v>
      </c>
    </row>
    <row r="31" spans="2:21" ht="24" customHeight="1" x14ac:dyDescent="0.25">
      <c r="B31" s="476" t="s">
        <v>288</v>
      </c>
      <c r="C31" s="477"/>
      <c r="D31" s="513">
        <f>'ES CT Electric Table A  '!J50-D30-1000000-500000-500000</f>
        <v>51656736.973748341</v>
      </c>
      <c r="E31" s="479">
        <f>D31/D44</f>
        <v>0.31320252579261149</v>
      </c>
      <c r="F31" s="480">
        <f>D31/D38</f>
        <v>0.34501218922642174</v>
      </c>
      <c r="G31" s="479">
        <f>48.32%-G30</f>
        <v>0.35820000000000002</v>
      </c>
      <c r="H31" s="480">
        <f>F31-G31</f>
        <v>-1.3187810773578279E-2</v>
      </c>
      <c r="I31" s="218" t="s">
        <v>491</v>
      </c>
      <c r="J31" s="94"/>
      <c r="K31" s="37"/>
      <c r="L31" s="37"/>
      <c r="M31" s="37"/>
      <c r="N31" s="37"/>
      <c r="P31" s="4" t="s">
        <v>59</v>
      </c>
      <c r="Q31" s="4"/>
      <c r="T31" s="6" t="e">
        <f>SUM(U31)*$T$33</f>
        <v>#REF!</v>
      </c>
      <c r="U31" s="53" t="e">
        <f>#REF!</f>
        <v>#REF!</v>
      </c>
    </row>
    <row r="32" spans="2:21" ht="17.25" thickBot="1" x14ac:dyDescent="0.3">
      <c r="B32" s="481" t="s">
        <v>48</v>
      </c>
      <c r="C32" s="482"/>
      <c r="D32" s="514">
        <f>SUM(D30:D31)</f>
        <v>72018099.7775172</v>
      </c>
      <c r="E32" s="484">
        <f>SUM(E30:E31)</f>
        <v>0.4366565151911484</v>
      </c>
      <c r="F32" s="484">
        <f>SUM(F30:F31)</f>
        <v>0.48100448700031617</v>
      </c>
      <c r="G32" s="484">
        <f>SUM(G30:G31)</f>
        <v>0.48320000000000002</v>
      </c>
      <c r="H32" s="484">
        <f>SUM(H30:H31)</f>
        <v>-2.1955129996838185E-3</v>
      </c>
      <c r="I32" s="105"/>
      <c r="J32" s="105"/>
      <c r="P32" s="54" t="s">
        <v>60</v>
      </c>
      <c r="Q32" s="4"/>
      <c r="T32" s="55">
        <f>SUM(U32)*$T$33</f>
        <v>24395677.417600002</v>
      </c>
      <c r="U32" s="56">
        <f>G30+G31</f>
        <v>0.48320000000000002</v>
      </c>
    </row>
    <row r="33" spans="2:21" ht="28.5" customHeight="1" x14ac:dyDescent="0.25">
      <c r="B33" s="476" t="s">
        <v>113</v>
      </c>
      <c r="C33" s="477"/>
      <c r="D33" s="513">
        <f>SUM(Q12*('ES CT Electric Table A  '!J51))-500000</f>
        <v>33870652.338702105</v>
      </c>
      <c r="E33" s="479">
        <f>D33/D44</f>
        <v>0.20536283327605531</v>
      </c>
      <c r="F33" s="480">
        <f>D33/D38</f>
        <v>0.22622001695231514</v>
      </c>
      <c r="G33" s="480">
        <f>E33/E36*G36</f>
        <v>0.22526303567681841</v>
      </c>
      <c r="H33" s="480">
        <f>F33-G33</f>
        <v>9.5698127549673218E-4</v>
      </c>
      <c r="I33" s="933" t="s">
        <v>13</v>
      </c>
      <c r="J33" s="934"/>
      <c r="K33" s="918"/>
      <c r="L33" s="932"/>
      <c r="M33" s="932"/>
      <c r="N33" s="217"/>
      <c r="O33" s="217"/>
      <c r="P33" s="4" t="s">
        <v>9</v>
      </c>
      <c r="Q33" s="4"/>
      <c r="T33" s="6">
        <v>50487743</v>
      </c>
      <c r="U33" s="53" t="e">
        <f>SUM(U29:U32)</f>
        <v>#REF!</v>
      </c>
    </row>
    <row r="34" spans="2:21" ht="24.75" customHeight="1" x14ac:dyDescent="0.25">
      <c r="B34" s="476" t="s">
        <v>112</v>
      </c>
      <c r="C34" s="477"/>
      <c r="D34" s="513">
        <f>'ES CT Electric Table A  '!J51-D33+1000000+500000+500000</f>
        <v>43835630.345663764</v>
      </c>
      <c r="E34" s="479">
        <f>D34/D44</f>
        <v>0.26578198601569347</v>
      </c>
      <c r="F34" s="480">
        <f>D34/D38</f>
        <v>0.29277549604736869</v>
      </c>
      <c r="G34" s="480">
        <f>E34/E36*G36</f>
        <v>0.29153696432318149</v>
      </c>
      <c r="H34" s="480">
        <f>F34-G34</f>
        <v>1.2385317241871974E-3</v>
      </c>
      <c r="I34" s="219"/>
      <c r="J34" s="116"/>
      <c r="L34" s="220"/>
      <c r="M34" s="64"/>
    </row>
    <row r="35" spans="2:21" ht="16.5" x14ac:dyDescent="0.25">
      <c r="B35" s="872"/>
      <c r="C35" s="873"/>
      <c r="D35" s="873"/>
      <c r="E35" s="873"/>
      <c r="F35" s="873"/>
      <c r="G35" s="873"/>
      <c r="H35" s="874"/>
      <c r="I35" s="115"/>
      <c r="J35" s="115"/>
      <c r="L35" s="65"/>
      <c r="M35" s="65"/>
      <c r="T35" s="6"/>
    </row>
    <row r="36" spans="2:21" ht="16.5" x14ac:dyDescent="0.25">
      <c r="B36" s="481" t="s">
        <v>50</v>
      </c>
      <c r="C36" s="482"/>
      <c r="D36" s="483">
        <f>SUM(D33:D35)</f>
        <v>77706282.684365869</v>
      </c>
      <c r="E36" s="484">
        <f>SUM(E33:E35)</f>
        <v>0.47114481929174878</v>
      </c>
      <c r="F36" s="484">
        <f>SUM(F33:F35)</f>
        <v>0.51899551299968383</v>
      </c>
      <c r="G36" s="484">
        <f>1-G32</f>
        <v>0.51679999999999993</v>
      </c>
      <c r="H36" s="484">
        <f>SUM(H33:H35)</f>
        <v>2.1955129996839295E-3</v>
      </c>
      <c r="I36" s="106"/>
      <c r="J36" s="107"/>
    </row>
    <row r="37" spans="2:21" ht="16.5" x14ac:dyDescent="0.25">
      <c r="B37" s="865"/>
      <c r="C37" s="866"/>
      <c r="D37" s="866"/>
      <c r="E37" s="866"/>
      <c r="F37" s="866"/>
      <c r="G37" s="866"/>
      <c r="H37" s="867"/>
      <c r="I37" s="95"/>
      <c r="J37" s="96"/>
    </row>
    <row r="38" spans="2:21" ht="16.5" x14ac:dyDescent="0.25">
      <c r="B38" s="481" t="s">
        <v>101</v>
      </c>
      <c r="C38" s="482"/>
      <c r="D38" s="483">
        <f>D32+D36</f>
        <v>149724382.46188307</v>
      </c>
      <c r="E38" s="484">
        <f>E32+E36</f>
        <v>0.90780133448289724</v>
      </c>
      <c r="F38" s="484">
        <f>F32+F36</f>
        <v>1</v>
      </c>
      <c r="G38" s="484">
        <f>G32+G36</f>
        <v>1</v>
      </c>
      <c r="H38" s="484">
        <f>H32+H36</f>
        <v>1.1102230246251565E-16</v>
      </c>
      <c r="I38" s="95"/>
      <c r="J38" s="96"/>
    </row>
    <row r="39" spans="2:21" ht="16.5" x14ac:dyDescent="0.25">
      <c r="B39" s="872"/>
      <c r="C39" s="873"/>
      <c r="D39" s="873"/>
      <c r="E39" s="873"/>
      <c r="F39" s="873"/>
      <c r="G39" s="873"/>
      <c r="H39" s="874"/>
      <c r="I39" s="97"/>
      <c r="J39" s="98"/>
    </row>
    <row r="40" spans="2:21" s="38" customFormat="1" ht="15" customHeight="1" x14ac:dyDescent="0.25">
      <c r="B40" s="859" t="s">
        <v>51</v>
      </c>
      <c r="C40" s="860"/>
      <c r="D40" s="860"/>
      <c r="E40" s="860"/>
      <c r="F40" s="860"/>
      <c r="G40" s="860"/>
      <c r="H40" s="861"/>
      <c r="I40" s="99"/>
      <c r="J40" s="100"/>
    </row>
    <row r="41" spans="2:21" s="38" customFormat="1" ht="24.75" customHeight="1" x14ac:dyDescent="0.25">
      <c r="B41" s="476" t="s">
        <v>51</v>
      </c>
      <c r="C41" s="477"/>
      <c r="D41" s="509">
        <f>'ES CT Electric Table A  '!J52</f>
        <v>15206397.847191092</v>
      </c>
      <c r="E41" s="479">
        <f>D41/D44</f>
        <v>9.219866551710279E-2</v>
      </c>
      <c r="F41" s="485"/>
      <c r="G41" s="486"/>
      <c r="H41" s="486"/>
      <c r="I41" s="99"/>
      <c r="J41" s="100"/>
    </row>
    <row r="42" spans="2:21" s="38" customFormat="1" ht="21" customHeight="1" x14ac:dyDescent="0.25">
      <c r="B42" s="487" t="s">
        <v>52</v>
      </c>
      <c r="C42" s="488"/>
      <c r="D42" s="483">
        <f>SUM(D41)</f>
        <v>15206397.847191092</v>
      </c>
      <c r="E42" s="484">
        <f>SUM(E41)</f>
        <v>9.219866551710279E-2</v>
      </c>
      <c r="F42" s="489"/>
      <c r="G42" s="510"/>
      <c r="H42" s="510"/>
      <c r="I42" s="99"/>
      <c r="J42" s="99"/>
    </row>
    <row r="43" spans="2:21" s="38" customFormat="1" ht="16.5" x14ac:dyDescent="0.25">
      <c r="B43" s="862"/>
      <c r="C43" s="863"/>
      <c r="D43" s="863"/>
      <c r="E43" s="863"/>
      <c r="F43" s="863"/>
      <c r="G43" s="863"/>
      <c r="H43" s="864"/>
      <c r="I43" s="99"/>
      <c r="J43" s="99"/>
    </row>
    <row r="44" spans="2:21" s="38" customFormat="1" ht="16.5" x14ac:dyDescent="0.25">
      <c r="B44" s="487" t="s">
        <v>212</v>
      </c>
      <c r="C44" s="488"/>
      <c r="D44" s="490">
        <f>D42+D38</f>
        <v>164930780.30907416</v>
      </c>
      <c r="E44" s="484">
        <f>E38+E42</f>
        <v>1</v>
      </c>
      <c r="F44" s="511"/>
      <c r="G44" s="511"/>
      <c r="H44" s="511"/>
      <c r="I44" s="99"/>
      <c r="J44" s="99"/>
    </row>
    <row r="45" spans="2:21" s="41" customFormat="1" ht="16.5" x14ac:dyDescent="0.25">
      <c r="B45" s="927"/>
      <c r="C45" s="927"/>
      <c r="D45" s="927"/>
      <c r="E45" s="927"/>
      <c r="F45" s="927"/>
      <c r="G45" s="494"/>
      <c r="H45" s="494"/>
      <c r="I45" s="76"/>
    </row>
    <row r="46" spans="2:21" s="41" customFormat="1" ht="16.5" x14ac:dyDescent="0.25">
      <c r="B46" s="696" t="s">
        <v>285</v>
      </c>
      <c r="C46" s="696"/>
      <c r="D46" s="696"/>
      <c r="E46" s="696"/>
      <c r="F46" s="696"/>
      <c r="G46" s="494"/>
      <c r="H46" s="494"/>
      <c r="I46" s="76"/>
    </row>
    <row r="47" spans="2:21" s="41" customFormat="1" ht="16.5" x14ac:dyDescent="0.25">
      <c r="B47" s="497" t="s">
        <v>295</v>
      </c>
      <c r="C47" s="497"/>
      <c r="D47" s="496"/>
      <c r="E47" s="498"/>
      <c r="F47" s="498"/>
      <c r="G47" s="499"/>
      <c r="H47" s="500"/>
    </row>
    <row r="48" spans="2:21" s="41" customFormat="1" ht="16.5" x14ac:dyDescent="0.25">
      <c r="B48" s="497" t="s">
        <v>286</v>
      </c>
      <c r="C48" s="497"/>
      <c r="D48" s="496"/>
      <c r="E48" s="500"/>
      <c r="F48" s="500"/>
      <c r="G48" s="500"/>
      <c r="H48" s="500"/>
    </row>
    <row r="49" spans="2:8" x14ac:dyDescent="0.2">
      <c r="B49" s="167" t="s">
        <v>13</v>
      </c>
    </row>
    <row r="50" spans="2:8" x14ac:dyDescent="0.2">
      <c r="B50" s="45"/>
      <c r="C50" s="45"/>
      <c r="D50" s="46"/>
      <c r="E50" s="13"/>
      <c r="F50" s="13"/>
      <c r="G50" s="13"/>
      <c r="H50" s="13"/>
    </row>
    <row r="51" spans="2:8" x14ac:dyDescent="0.2">
      <c r="B51" s="13"/>
      <c r="C51" s="13"/>
      <c r="D51" s="47"/>
      <c r="E51" s="13"/>
      <c r="F51" s="13"/>
      <c r="G51" s="13"/>
      <c r="H51" s="13"/>
    </row>
  </sheetData>
  <mergeCells count="12">
    <mergeCell ref="B45:F45"/>
    <mergeCell ref="B2:O2"/>
    <mergeCell ref="B3:O3"/>
    <mergeCell ref="I30:J30"/>
    <mergeCell ref="L33:M33"/>
    <mergeCell ref="B39:H39"/>
    <mergeCell ref="C29:D29"/>
    <mergeCell ref="B35:H35"/>
    <mergeCell ref="B37:H37"/>
    <mergeCell ref="B43:H43"/>
    <mergeCell ref="B40:H40"/>
    <mergeCell ref="I33:K33"/>
  </mergeCells>
  <pageMargins left="0.75" right="0.75" top="1" bottom="1" header="0.5" footer="0.5"/>
  <pageSetup scale="57" orientation="landscape"/>
  <headerFooter alignWithMargins="0">
    <oddFooter xml:space="preserve">&amp;CTotals may vary due to rounding
</oddFooter>
  </headerFooter>
  <ignoredErrors>
    <ignoredError sqref="G36 H32" formula="1"/>
  </ignoredErrors>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3F54-6362-416F-BC96-B3C51BDC69FF}">
  <sheetPr>
    <tabColor theme="9" tint="0.39997558519241921"/>
    <pageSetUpPr fitToPage="1"/>
  </sheetPr>
  <dimension ref="B2:U51"/>
  <sheetViews>
    <sheetView showGridLines="0" topLeftCell="A25" zoomScale="80" zoomScaleNormal="80" workbookViewId="0">
      <selection activeCell="D30" sqref="D30"/>
    </sheetView>
  </sheetViews>
  <sheetFormatPr defaultRowHeight="12.75" x14ac:dyDescent="0.2"/>
  <cols>
    <col min="2" max="2" width="38.42578125" customWidth="1"/>
    <col min="3" max="3" width="3.5703125" customWidth="1"/>
    <col min="4" max="4" width="17" customWidth="1"/>
    <col min="5" max="5" width="16" customWidth="1"/>
    <col min="6" max="6" width="18" customWidth="1"/>
    <col min="7" max="7" width="18.140625" customWidth="1"/>
    <col min="8" max="8" width="16.5703125" customWidth="1"/>
    <col min="9" max="9" width="13.140625" customWidth="1"/>
    <col min="10" max="10" width="12.28515625" customWidth="1"/>
    <col min="14" max="14" width="3.28515625" customWidth="1"/>
    <col min="15" max="15" width="4.5703125" customWidth="1"/>
    <col min="16" max="16" width="11.28515625" hidden="1" customWidth="1"/>
    <col min="17" max="19" width="9.140625" hidden="1" customWidth="1"/>
    <col min="20" max="20" width="16.42578125" hidden="1" customWidth="1"/>
    <col min="21" max="21" width="9.140625" hidden="1" customWidth="1"/>
    <col min="22" max="23" width="9.140625" customWidth="1"/>
  </cols>
  <sheetData>
    <row r="2" spans="2:19" ht="47.25" customHeight="1" x14ac:dyDescent="0.35">
      <c r="B2" s="868" t="s">
        <v>403</v>
      </c>
      <c r="C2" s="869"/>
      <c r="D2" s="869"/>
      <c r="E2" s="869"/>
      <c r="F2" s="869"/>
      <c r="G2" s="869"/>
      <c r="H2" s="869"/>
      <c r="I2" s="869"/>
      <c r="J2" s="869"/>
      <c r="K2" s="869"/>
      <c r="L2" s="869"/>
      <c r="M2" s="869"/>
      <c r="N2" s="869"/>
      <c r="O2" s="869"/>
    </row>
    <row r="3" spans="2:19" ht="23.25" x14ac:dyDescent="0.35">
      <c r="B3" s="869" t="s">
        <v>143</v>
      </c>
      <c r="C3" s="869"/>
      <c r="D3" s="869"/>
      <c r="E3" s="869"/>
      <c r="F3" s="869"/>
      <c r="G3" s="869"/>
      <c r="H3" s="869"/>
      <c r="I3" s="869"/>
      <c r="J3" s="869"/>
      <c r="K3" s="869"/>
      <c r="L3" s="869"/>
      <c r="M3" s="869"/>
      <c r="N3" s="869"/>
      <c r="O3" s="869"/>
    </row>
    <row r="4" spans="2:19" x14ac:dyDescent="0.2">
      <c r="P4" s="113" t="s">
        <v>172</v>
      </c>
      <c r="Q4" s="48"/>
      <c r="R4" s="17"/>
      <c r="S4" s="17"/>
    </row>
    <row r="5" spans="2:19" x14ac:dyDescent="0.2">
      <c r="P5" s="49"/>
      <c r="Q5" s="20"/>
      <c r="R5" s="13"/>
      <c r="S5" s="13"/>
    </row>
    <row r="6" spans="2:19" x14ac:dyDescent="0.2">
      <c r="P6" s="49" t="s">
        <v>54</v>
      </c>
      <c r="Q6" s="20">
        <v>0.2</v>
      </c>
      <c r="R6" s="13"/>
      <c r="S6" s="13"/>
    </row>
    <row r="7" spans="2:19" x14ac:dyDescent="0.2">
      <c r="P7" s="49" t="s">
        <v>6</v>
      </c>
      <c r="Q7" s="20">
        <v>0.8</v>
      </c>
      <c r="R7" s="13"/>
      <c r="S7" s="13"/>
    </row>
    <row r="8" spans="2:19" x14ac:dyDescent="0.2">
      <c r="P8" s="49"/>
      <c r="Q8" s="20"/>
      <c r="R8" s="13"/>
      <c r="S8" s="13"/>
    </row>
    <row r="9" spans="2:19" x14ac:dyDescent="0.2">
      <c r="P9" s="13"/>
      <c r="Q9" s="13"/>
      <c r="R9" s="13"/>
      <c r="S9" s="13"/>
    </row>
    <row r="10" spans="2:19" x14ac:dyDescent="0.2">
      <c r="P10" s="113" t="s">
        <v>173</v>
      </c>
      <c r="Q10" s="17"/>
      <c r="R10" s="17"/>
      <c r="S10" s="17"/>
    </row>
    <row r="11" spans="2:19" x14ac:dyDescent="0.2">
      <c r="P11" s="13"/>
      <c r="Q11" s="13"/>
      <c r="R11" s="13"/>
      <c r="S11" s="13"/>
    </row>
    <row r="12" spans="2:19" ht="18" x14ac:dyDescent="0.25">
      <c r="P12" s="13" t="s">
        <v>55</v>
      </c>
      <c r="Q12" s="562">
        <v>0.45400000000000001</v>
      </c>
      <c r="R12" s="13"/>
      <c r="S12" s="13"/>
    </row>
    <row r="13" spans="2:19" x14ac:dyDescent="0.2">
      <c r="P13" s="13" t="s">
        <v>56</v>
      </c>
      <c r="Q13" s="20">
        <v>0.54600000000000004</v>
      </c>
      <c r="R13" s="13"/>
      <c r="S13" s="13"/>
    </row>
    <row r="14" spans="2:19" x14ac:dyDescent="0.2">
      <c r="P14" s="13"/>
      <c r="Q14" s="13"/>
      <c r="R14" s="13"/>
      <c r="S14" s="13"/>
    </row>
    <row r="16" spans="2:19" x14ac:dyDescent="0.2">
      <c r="P16" s="114" t="s">
        <v>174</v>
      </c>
      <c r="Q16" s="50"/>
      <c r="R16" s="51"/>
      <c r="S16" s="51"/>
    </row>
    <row r="17" spans="2:21" x14ac:dyDescent="0.2">
      <c r="P17" s="49"/>
      <c r="Q17" s="20"/>
      <c r="R17" s="13"/>
      <c r="S17" s="13"/>
    </row>
    <row r="18" spans="2:21" x14ac:dyDescent="0.2">
      <c r="P18" s="49" t="s">
        <v>54</v>
      </c>
      <c r="Q18" s="20">
        <v>0.33700000000000002</v>
      </c>
      <c r="R18" s="13"/>
      <c r="S18" s="13"/>
    </row>
    <row r="19" spans="2:21" x14ac:dyDescent="0.2">
      <c r="P19" s="49" t="s">
        <v>6</v>
      </c>
      <c r="Q19" s="20">
        <v>0.66400000000000003</v>
      </c>
      <c r="R19" s="13"/>
      <c r="S19" s="13"/>
    </row>
    <row r="20" spans="2:21" x14ac:dyDescent="0.2">
      <c r="P20" s="49"/>
      <c r="Q20" s="20"/>
      <c r="R20" s="13"/>
      <c r="S20" s="13"/>
    </row>
    <row r="21" spans="2:21" x14ac:dyDescent="0.2">
      <c r="P21" s="13"/>
      <c r="Q21" s="13"/>
      <c r="R21" s="13"/>
      <c r="S21" s="13"/>
    </row>
    <row r="22" spans="2:21" x14ac:dyDescent="0.2">
      <c r="P22" s="114" t="s">
        <v>175</v>
      </c>
      <c r="Q22" s="51"/>
      <c r="R22" s="51"/>
      <c r="S22" s="51"/>
    </row>
    <row r="23" spans="2:21" x14ac:dyDescent="0.2">
      <c r="P23" s="13"/>
      <c r="Q23" s="13"/>
      <c r="R23" s="13"/>
      <c r="S23" s="13"/>
    </row>
    <row r="24" spans="2:21" ht="13.5" customHeight="1" x14ac:dyDescent="0.2">
      <c r="P24" s="13" t="s">
        <v>55</v>
      </c>
      <c r="Q24" s="20">
        <v>0.45400000000000001</v>
      </c>
      <c r="R24" s="13"/>
      <c r="S24" s="13"/>
    </row>
    <row r="25" spans="2:21" ht="13.5" customHeight="1" x14ac:dyDescent="0.2">
      <c r="P25" s="13" t="s">
        <v>56</v>
      </c>
      <c r="Q25" s="20">
        <v>0.54600000000000004</v>
      </c>
      <c r="R25" s="13"/>
      <c r="S25" s="13"/>
    </row>
    <row r="26" spans="2:21" s="4" customFormat="1" ht="13.5" customHeight="1" x14ac:dyDescent="0.2">
      <c r="P26"/>
      <c r="Q26"/>
      <c r="R26"/>
      <c r="S26"/>
      <c r="T26"/>
      <c r="U26"/>
    </row>
    <row r="27" spans="2:21" s="4" customFormat="1" ht="13.5" customHeight="1" x14ac:dyDescent="0.2">
      <c r="P27"/>
      <c r="Q27"/>
      <c r="R27"/>
      <c r="S27"/>
      <c r="T27"/>
      <c r="U27"/>
    </row>
    <row r="28" spans="2:21" ht="13.5" thickBot="1" x14ac:dyDescent="0.25">
      <c r="G28" t="s">
        <v>135</v>
      </c>
      <c r="P28" s="10" t="s">
        <v>57</v>
      </c>
      <c r="U28" s="52" t="s">
        <v>53</v>
      </c>
    </row>
    <row r="29" spans="2:21" ht="78" customHeight="1" x14ac:dyDescent="0.2">
      <c r="B29" s="508" t="s">
        <v>47</v>
      </c>
      <c r="C29" s="870" t="s">
        <v>481</v>
      </c>
      <c r="D29" s="871"/>
      <c r="E29" s="508" t="s">
        <v>215</v>
      </c>
      <c r="F29" s="508" t="s">
        <v>287</v>
      </c>
      <c r="G29" s="508" t="s">
        <v>284</v>
      </c>
      <c r="H29" s="508" t="s">
        <v>42</v>
      </c>
      <c r="I29" s="62"/>
      <c r="J29" s="61" t="s">
        <v>13</v>
      </c>
      <c r="P29" s="4" t="s">
        <v>58</v>
      </c>
      <c r="Q29" s="4"/>
      <c r="T29" s="6">
        <f>SUM(U29)*$T$33</f>
        <v>25476115.117799997</v>
      </c>
      <c r="U29" s="77">
        <f>G33+G34</f>
        <v>0.50459999999999994</v>
      </c>
    </row>
    <row r="30" spans="2:21" ht="28.5" customHeight="1" x14ac:dyDescent="0.25">
      <c r="B30" s="476" t="s">
        <v>283</v>
      </c>
      <c r="C30" s="477"/>
      <c r="D30" s="513">
        <f>'ES CT Electric Table A  '!N14+'ES CT Electric Table A  '!N30*50%+'ES CT Electric Table A  '!N34*25%+'ES CT Electric Table A  '!N11*11%+'ES CT Electric Table A  '!N24*11%+'ES CT Electric Table A  '!N31*0.8*11%</f>
        <v>17627506.533768862</v>
      </c>
      <c r="E30" s="479">
        <f>D30/D44</f>
        <v>0.12182731356416511</v>
      </c>
      <c r="F30" s="480">
        <f>D30/D38</f>
        <v>0.13507678972929096</v>
      </c>
      <c r="G30" s="479">
        <v>0.125</v>
      </c>
      <c r="H30" s="480">
        <f>F30-G30</f>
        <v>1.0076789729290964E-2</v>
      </c>
      <c r="I30" s="930" t="s">
        <v>493</v>
      </c>
      <c r="J30" s="930"/>
      <c r="P30" s="4" t="s">
        <v>49</v>
      </c>
      <c r="Q30" s="4"/>
      <c r="T30" s="6" t="e">
        <f>SUM(U30)*$T$33</f>
        <v>#REF!</v>
      </c>
      <c r="U30" s="53" t="e">
        <f>#REF!</f>
        <v>#REF!</v>
      </c>
    </row>
    <row r="31" spans="2:21" ht="24" customHeight="1" x14ac:dyDescent="0.25">
      <c r="B31" s="476" t="s">
        <v>288</v>
      </c>
      <c r="C31" s="477"/>
      <c r="D31" s="513">
        <f>'ES CT Electric Table A  '!N50-D30</f>
        <v>47155118.243748344</v>
      </c>
      <c r="E31" s="479">
        <f>D31/D44</f>
        <v>0.32589869505543417</v>
      </c>
      <c r="F31" s="480">
        <f>D31/D38</f>
        <v>0.3613422000138552</v>
      </c>
      <c r="G31" s="479">
        <f>49.54%-G30</f>
        <v>0.37040000000000001</v>
      </c>
      <c r="H31" s="480">
        <f>F31-G31</f>
        <v>-9.05779998614481E-3</v>
      </c>
      <c r="J31" s="94"/>
      <c r="K31" s="37"/>
      <c r="L31" s="37"/>
      <c r="M31" s="37"/>
      <c r="N31" s="37"/>
      <c r="P31" s="4" t="s">
        <v>59</v>
      </c>
      <c r="Q31" s="4"/>
      <c r="T31" s="6" t="e">
        <f>SUM(U31)*$T$33</f>
        <v>#REF!</v>
      </c>
      <c r="U31" s="53" t="e">
        <f>#REF!</f>
        <v>#REF!</v>
      </c>
    </row>
    <row r="32" spans="2:21" ht="17.25" thickBot="1" x14ac:dyDescent="0.3">
      <c r="B32" s="481" t="s">
        <v>48</v>
      </c>
      <c r="C32" s="482"/>
      <c r="D32" s="514">
        <f>SUM(D30:D31)</f>
        <v>64782624.777517207</v>
      </c>
      <c r="E32" s="484">
        <f>SUM(E30:E31)</f>
        <v>0.44772600861959927</v>
      </c>
      <c r="F32" s="484">
        <f>SUM(F30:F31)</f>
        <v>0.49641898974314613</v>
      </c>
      <c r="G32" s="484">
        <f>SUM(G30:G31)</f>
        <v>0.49540000000000001</v>
      </c>
      <c r="H32" s="484">
        <f>SUM(H30:H31)</f>
        <v>1.0189897431461536E-3</v>
      </c>
      <c r="I32" s="105"/>
      <c r="J32" s="105"/>
      <c r="P32" s="54" t="s">
        <v>60</v>
      </c>
      <c r="Q32" s="4"/>
      <c r="T32" s="55">
        <f>SUM(U32)*$T$33</f>
        <v>25011627.882199999</v>
      </c>
      <c r="U32" s="56">
        <f>G30+G31</f>
        <v>0.49540000000000001</v>
      </c>
    </row>
    <row r="33" spans="2:21" ht="28.5" customHeight="1" x14ac:dyDescent="0.25">
      <c r="B33" s="476" t="s">
        <v>113</v>
      </c>
      <c r="C33" s="477"/>
      <c r="D33" s="513">
        <f>SUM(Q12*('ES CT Electric Table A  '!N51))</f>
        <v>29835639.528702106</v>
      </c>
      <c r="E33" s="479">
        <f>D33/D44</f>
        <v>0.20620022493183843</v>
      </c>
      <c r="F33" s="480">
        <f>D33/D38</f>
        <v>0.22862577865661168</v>
      </c>
      <c r="G33" s="480">
        <f>E33/E36*G36</f>
        <v>0.2290884</v>
      </c>
      <c r="H33" s="480">
        <f>F33-G33</f>
        <v>-4.6262134338831418E-4</v>
      </c>
      <c r="I33" s="933" t="s">
        <v>13</v>
      </c>
      <c r="J33" s="934"/>
      <c r="K33" s="918"/>
      <c r="L33" s="932"/>
      <c r="M33" s="932"/>
      <c r="N33" s="557"/>
      <c r="O33" s="557"/>
      <c r="P33" s="4" t="s">
        <v>9</v>
      </c>
      <c r="Q33" s="4"/>
      <c r="T33" s="6">
        <v>50487743</v>
      </c>
      <c r="U33" s="53" t="e">
        <f>SUM(U29:U32)</f>
        <v>#REF!</v>
      </c>
    </row>
    <row r="34" spans="2:21" ht="24.75" customHeight="1" x14ac:dyDescent="0.25">
      <c r="B34" s="476" t="s">
        <v>112</v>
      </c>
      <c r="C34" s="477"/>
      <c r="D34" s="513">
        <f>'ES CT Electric Table A  '!N51-D33</f>
        <v>35881628.155663759</v>
      </c>
      <c r="E34" s="479">
        <f>D34/D44</f>
        <v>0.24798529253917126</v>
      </c>
      <c r="F34" s="480">
        <f>D34/D38</f>
        <v>0.27495523160024221</v>
      </c>
      <c r="G34" s="480">
        <f>E34/E36*G36</f>
        <v>0.27551159999999991</v>
      </c>
      <c r="H34" s="480">
        <f>F34-G34</f>
        <v>-5.5636839975770069E-4</v>
      </c>
      <c r="I34" s="558" t="s">
        <v>492</v>
      </c>
      <c r="J34" s="116"/>
      <c r="L34" s="559"/>
      <c r="M34" s="64"/>
    </row>
    <row r="35" spans="2:21" ht="16.5" x14ac:dyDescent="0.25">
      <c r="B35" s="872"/>
      <c r="C35" s="873"/>
      <c r="D35" s="873"/>
      <c r="E35" s="873"/>
      <c r="F35" s="873"/>
      <c r="G35" s="873"/>
      <c r="H35" s="874"/>
      <c r="I35" s="115"/>
      <c r="J35" s="115"/>
      <c r="L35" s="65"/>
      <c r="M35" s="65"/>
      <c r="T35" s="6"/>
    </row>
    <row r="36" spans="2:21" ht="16.5" x14ac:dyDescent="0.25">
      <c r="B36" s="481" t="s">
        <v>50</v>
      </c>
      <c r="C36" s="482"/>
      <c r="D36" s="483">
        <f>SUM(D33:D35)</f>
        <v>65717267.684365869</v>
      </c>
      <c r="E36" s="484">
        <f>SUM(E33:E35)</f>
        <v>0.45418551747100966</v>
      </c>
      <c r="F36" s="484">
        <f>SUM(F33:F35)</f>
        <v>0.50358101025685387</v>
      </c>
      <c r="G36" s="484">
        <f>1-G32</f>
        <v>0.50459999999999994</v>
      </c>
      <c r="H36" s="484">
        <f>SUM(H33:H35)</f>
        <v>-1.0189897431460149E-3</v>
      </c>
      <c r="I36" s="106"/>
      <c r="J36" s="107"/>
    </row>
    <row r="37" spans="2:21" ht="16.5" x14ac:dyDescent="0.25">
      <c r="B37" s="865"/>
      <c r="C37" s="866"/>
      <c r="D37" s="866"/>
      <c r="E37" s="866"/>
      <c r="F37" s="866"/>
      <c r="G37" s="866"/>
      <c r="H37" s="867"/>
      <c r="I37" s="95"/>
      <c r="J37" s="791"/>
    </row>
    <row r="38" spans="2:21" ht="16.5" x14ac:dyDescent="0.25">
      <c r="B38" s="481" t="s">
        <v>101</v>
      </c>
      <c r="C38" s="482"/>
      <c r="D38" s="483">
        <f>D32+D36</f>
        <v>130499892.46188307</v>
      </c>
      <c r="E38" s="484">
        <f>E32+E36</f>
        <v>0.90191152609060898</v>
      </c>
      <c r="F38" s="484">
        <f>F32+F36</f>
        <v>1</v>
      </c>
      <c r="G38" s="484">
        <f>G32+G36</f>
        <v>1</v>
      </c>
      <c r="H38" s="484">
        <f>H32+H36</f>
        <v>1.3877787807814457E-16</v>
      </c>
      <c r="I38" s="95"/>
      <c r="J38" s="791"/>
    </row>
    <row r="39" spans="2:21" ht="16.5" x14ac:dyDescent="0.25">
      <c r="B39" s="872"/>
      <c r="C39" s="873"/>
      <c r="D39" s="873"/>
      <c r="E39" s="873"/>
      <c r="F39" s="873"/>
      <c r="G39" s="873"/>
      <c r="H39" s="874"/>
      <c r="I39" s="97"/>
      <c r="J39" s="98"/>
    </row>
    <row r="40" spans="2:21" s="38" customFormat="1" ht="15" customHeight="1" x14ac:dyDescent="0.25">
      <c r="B40" s="859" t="s">
        <v>51</v>
      </c>
      <c r="C40" s="860"/>
      <c r="D40" s="860"/>
      <c r="E40" s="860"/>
      <c r="F40" s="860"/>
      <c r="G40" s="860"/>
      <c r="H40" s="861"/>
      <c r="I40" s="99"/>
      <c r="J40" s="100"/>
    </row>
    <row r="41" spans="2:21" s="38" customFormat="1" ht="24.75" customHeight="1" x14ac:dyDescent="0.25">
      <c r="B41" s="476" t="s">
        <v>51</v>
      </c>
      <c r="C41" s="477"/>
      <c r="D41" s="509">
        <f>'ES CT Electric Table A  '!N52</f>
        <v>14192672.924816091</v>
      </c>
      <c r="E41" s="479">
        <f>D41/D44</f>
        <v>9.8088473909390989E-2</v>
      </c>
      <c r="F41" s="485"/>
      <c r="G41" s="486"/>
      <c r="H41" s="486"/>
      <c r="I41" s="99"/>
      <c r="J41" s="100"/>
    </row>
    <row r="42" spans="2:21" s="38" customFormat="1" ht="21" customHeight="1" x14ac:dyDescent="0.25">
      <c r="B42" s="487" t="s">
        <v>52</v>
      </c>
      <c r="C42" s="488"/>
      <c r="D42" s="483">
        <f>SUM(D41)</f>
        <v>14192672.924816091</v>
      </c>
      <c r="E42" s="484">
        <f>SUM(E41)</f>
        <v>9.8088473909390989E-2</v>
      </c>
      <c r="F42" s="489"/>
      <c r="G42" s="510"/>
      <c r="H42" s="510"/>
      <c r="I42" s="99"/>
      <c r="J42" s="99"/>
    </row>
    <row r="43" spans="2:21" s="38" customFormat="1" ht="16.5" x14ac:dyDescent="0.25">
      <c r="B43" s="862"/>
      <c r="C43" s="863"/>
      <c r="D43" s="863"/>
      <c r="E43" s="863"/>
      <c r="F43" s="863"/>
      <c r="G43" s="863"/>
      <c r="H43" s="864"/>
      <c r="I43" s="99"/>
      <c r="J43" s="99"/>
    </row>
    <row r="44" spans="2:21" s="38" customFormat="1" ht="16.5" x14ac:dyDescent="0.25">
      <c r="B44" s="487" t="s">
        <v>212</v>
      </c>
      <c r="C44" s="488"/>
      <c r="D44" s="490">
        <f>D42+D38</f>
        <v>144692565.38669917</v>
      </c>
      <c r="E44" s="484">
        <f>E38+E42</f>
        <v>1</v>
      </c>
      <c r="F44" s="511"/>
      <c r="G44" s="511"/>
      <c r="H44" s="511"/>
      <c r="I44" s="99"/>
      <c r="J44" s="99"/>
    </row>
    <row r="45" spans="2:21" s="41" customFormat="1" ht="16.5" x14ac:dyDescent="0.25">
      <c r="B45" s="927"/>
      <c r="C45" s="927"/>
      <c r="D45" s="927"/>
      <c r="E45" s="927"/>
      <c r="F45" s="927"/>
      <c r="G45" s="494"/>
      <c r="H45" s="494"/>
      <c r="I45" s="76"/>
    </row>
    <row r="46" spans="2:21" s="41" customFormat="1" ht="16.5" x14ac:dyDescent="0.25">
      <c r="B46" s="696" t="s">
        <v>285</v>
      </c>
      <c r="C46" s="696"/>
      <c r="D46" s="696"/>
      <c r="E46" s="696"/>
      <c r="F46" s="696"/>
      <c r="G46" s="494"/>
      <c r="H46" s="494"/>
      <c r="I46" s="76"/>
    </row>
    <row r="47" spans="2:21" s="41" customFormat="1" ht="16.5" x14ac:dyDescent="0.25">
      <c r="B47" s="497" t="s">
        <v>295</v>
      </c>
      <c r="C47" s="497"/>
      <c r="D47" s="496"/>
      <c r="E47" s="498"/>
      <c r="F47" s="498"/>
      <c r="G47" s="499"/>
      <c r="H47" s="500"/>
    </row>
    <row r="48" spans="2:21" s="41" customFormat="1" ht="16.5" x14ac:dyDescent="0.25">
      <c r="B48" s="497" t="s">
        <v>286</v>
      </c>
      <c r="C48" s="497"/>
      <c r="D48" s="496"/>
      <c r="E48" s="500"/>
      <c r="F48" s="500"/>
      <c r="G48" s="500"/>
      <c r="H48" s="500"/>
    </row>
    <row r="49" spans="2:8" x14ac:dyDescent="0.2">
      <c r="B49" s="167" t="s">
        <v>13</v>
      </c>
    </row>
    <row r="50" spans="2:8" x14ac:dyDescent="0.2">
      <c r="B50" s="45"/>
      <c r="C50" s="45"/>
      <c r="D50" s="46"/>
      <c r="E50" s="13"/>
      <c r="F50" s="13"/>
      <c r="G50" s="13"/>
      <c r="H50" s="13"/>
    </row>
    <row r="51" spans="2:8" x14ac:dyDescent="0.2">
      <c r="B51" s="13"/>
      <c r="C51" s="13"/>
      <c r="D51" s="47"/>
      <c r="E51" s="13"/>
      <c r="F51" s="13"/>
      <c r="G51" s="13"/>
      <c r="H51" s="13"/>
    </row>
  </sheetData>
  <mergeCells count="12">
    <mergeCell ref="B45:F45"/>
    <mergeCell ref="B2:O2"/>
    <mergeCell ref="B3:O3"/>
    <mergeCell ref="C29:D29"/>
    <mergeCell ref="I30:J30"/>
    <mergeCell ref="I33:K33"/>
    <mergeCell ref="L33:M33"/>
    <mergeCell ref="B35:H35"/>
    <mergeCell ref="B37:H37"/>
    <mergeCell ref="B39:H39"/>
    <mergeCell ref="B40:H40"/>
    <mergeCell ref="B43:H43"/>
  </mergeCells>
  <pageMargins left="0.75" right="0.75" top="1" bottom="1" header="0.5" footer="0.5"/>
  <pageSetup scale="57" orientation="landscape"/>
  <headerFooter alignWithMargins="0">
    <oddFooter xml:space="preserve">&amp;CTotals may vary due to rounding
</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3F7B-55B7-4676-9043-165A15C59825}">
  <sheetPr>
    <tabColor theme="9" tint="0.39997558519241921"/>
    <pageSetUpPr fitToPage="1"/>
  </sheetPr>
  <dimension ref="B2:U51"/>
  <sheetViews>
    <sheetView showGridLines="0" topLeftCell="A16" zoomScale="80" zoomScaleNormal="80" workbookViewId="0">
      <selection activeCell="D30" sqref="D30"/>
    </sheetView>
  </sheetViews>
  <sheetFormatPr defaultColWidth="9.140625" defaultRowHeight="12.75" x14ac:dyDescent="0.2"/>
  <cols>
    <col min="1" max="1" width="9.140625" style="765"/>
    <col min="2" max="2" width="38.42578125" style="765" customWidth="1"/>
    <col min="3" max="3" width="3.5703125" style="765" customWidth="1"/>
    <col min="4" max="4" width="17" style="765" customWidth="1"/>
    <col min="5" max="5" width="16" style="765" customWidth="1"/>
    <col min="6" max="6" width="18" style="765" customWidth="1"/>
    <col min="7" max="7" width="18.140625" style="765" customWidth="1"/>
    <col min="8" max="8" width="16.5703125" style="765" customWidth="1"/>
    <col min="9" max="9" width="13.140625" style="765" customWidth="1"/>
    <col min="10" max="10" width="12.28515625" style="765" customWidth="1"/>
    <col min="11" max="13" width="9.140625" style="765"/>
    <col min="14" max="14" width="3.28515625" style="765" customWidth="1"/>
    <col min="15" max="15" width="4.5703125" style="765" customWidth="1"/>
    <col min="16" max="16" width="11.28515625" style="765" hidden="1" customWidth="1"/>
    <col min="17" max="19" width="9.140625" style="765" hidden="1" customWidth="1"/>
    <col min="20" max="20" width="16.42578125" style="765" hidden="1" customWidth="1"/>
    <col min="21" max="21" width="9.140625" style="765" hidden="1" customWidth="1"/>
    <col min="22" max="23" width="9.140625" style="765" customWidth="1"/>
    <col min="24" max="16384" width="9.140625" style="765"/>
  </cols>
  <sheetData>
    <row r="2" spans="2:19" ht="47.25" customHeight="1" x14ac:dyDescent="0.35">
      <c r="B2" s="868" t="s">
        <v>403</v>
      </c>
      <c r="C2" s="869"/>
      <c r="D2" s="869"/>
      <c r="E2" s="869"/>
      <c r="F2" s="869"/>
      <c r="G2" s="869"/>
      <c r="H2" s="869"/>
      <c r="I2" s="869"/>
      <c r="J2" s="869"/>
      <c r="K2" s="869"/>
      <c r="L2" s="869"/>
      <c r="M2" s="869"/>
      <c r="N2" s="869"/>
      <c r="O2" s="869"/>
    </row>
    <row r="3" spans="2:19" ht="23.25" x14ac:dyDescent="0.35">
      <c r="B3" s="869" t="s">
        <v>143</v>
      </c>
      <c r="C3" s="869"/>
      <c r="D3" s="869"/>
      <c r="E3" s="869"/>
      <c r="F3" s="869"/>
      <c r="G3" s="869"/>
      <c r="H3" s="869"/>
      <c r="I3" s="869"/>
      <c r="J3" s="869"/>
      <c r="K3" s="869"/>
      <c r="L3" s="869"/>
      <c r="M3" s="869"/>
      <c r="N3" s="869"/>
      <c r="O3" s="869"/>
    </row>
    <row r="4" spans="2:19" x14ac:dyDescent="0.2">
      <c r="P4" s="113" t="s">
        <v>172</v>
      </c>
      <c r="Q4" s="48"/>
      <c r="R4" s="17"/>
      <c r="S4" s="17"/>
    </row>
    <row r="5" spans="2:19" x14ac:dyDescent="0.2">
      <c r="P5" s="49"/>
      <c r="Q5" s="20"/>
      <c r="R5" s="13"/>
      <c r="S5" s="13"/>
    </row>
    <row r="6" spans="2:19" x14ac:dyDescent="0.2">
      <c r="P6" s="49" t="s">
        <v>54</v>
      </c>
      <c r="Q6" s="20">
        <v>0.2</v>
      </c>
      <c r="R6" s="13"/>
      <c r="S6" s="13"/>
    </row>
    <row r="7" spans="2:19" x14ac:dyDescent="0.2">
      <c r="P7" s="49" t="s">
        <v>6</v>
      </c>
      <c r="Q7" s="20">
        <v>0.8</v>
      </c>
      <c r="R7" s="13"/>
      <c r="S7" s="13"/>
    </row>
    <row r="8" spans="2:19" x14ac:dyDescent="0.2">
      <c r="P8" s="49"/>
      <c r="Q8" s="20"/>
      <c r="R8" s="13"/>
      <c r="S8" s="13"/>
    </row>
    <row r="9" spans="2:19" x14ac:dyDescent="0.2">
      <c r="P9" s="13"/>
      <c r="Q9" s="13"/>
      <c r="R9" s="13"/>
      <c r="S9" s="13"/>
    </row>
    <row r="10" spans="2:19" x14ac:dyDescent="0.2">
      <c r="P10" s="113" t="s">
        <v>173</v>
      </c>
      <c r="Q10" s="17"/>
      <c r="R10" s="17"/>
      <c r="S10" s="17"/>
    </row>
    <row r="11" spans="2:19" x14ac:dyDescent="0.2">
      <c r="P11" s="13"/>
      <c r="Q11" s="13"/>
      <c r="R11" s="13"/>
      <c r="S11" s="13"/>
    </row>
    <row r="12" spans="2:19" ht="18" x14ac:dyDescent="0.25">
      <c r="P12" s="13" t="s">
        <v>55</v>
      </c>
      <c r="Q12" s="562">
        <v>0.45400000000000001</v>
      </c>
      <c r="R12" s="13"/>
      <c r="S12" s="13"/>
    </row>
    <row r="13" spans="2:19" x14ac:dyDescent="0.2">
      <c r="P13" s="13" t="s">
        <v>56</v>
      </c>
      <c r="Q13" s="20">
        <v>0.54600000000000004</v>
      </c>
      <c r="R13" s="13"/>
      <c r="S13" s="13"/>
    </row>
    <row r="14" spans="2:19" x14ac:dyDescent="0.2">
      <c r="P14" s="13"/>
      <c r="Q14" s="13"/>
      <c r="R14" s="13"/>
      <c r="S14" s="13"/>
    </row>
    <row r="16" spans="2:19" x14ac:dyDescent="0.2">
      <c r="P16" s="114" t="s">
        <v>174</v>
      </c>
      <c r="Q16" s="50"/>
      <c r="R16" s="51"/>
      <c r="S16" s="51"/>
    </row>
    <row r="17" spans="2:21" x14ac:dyDescent="0.2">
      <c r="P17" s="49"/>
      <c r="Q17" s="20"/>
      <c r="R17" s="13"/>
      <c r="S17" s="13"/>
    </row>
    <row r="18" spans="2:21" x14ac:dyDescent="0.2">
      <c r="P18" s="49" t="s">
        <v>54</v>
      </c>
      <c r="Q18" s="20">
        <v>0.33700000000000002</v>
      </c>
      <c r="R18" s="13"/>
      <c r="S18" s="13"/>
    </row>
    <row r="19" spans="2:21" x14ac:dyDescent="0.2">
      <c r="P19" s="49" t="s">
        <v>6</v>
      </c>
      <c r="Q19" s="20">
        <v>0.66400000000000003</v>
      </c>
      <c r="R19" s="13"/>
      <c r="S19" s="13"/>
    </row>
    <row r="20" spans="2:21" x14ac:dyDescent="0.2">
      <c r="P20" s="49"/>
      <c r="Q20" s="20"/>
      <c r="R20" s="13"/>
      <c r="S20" s="13"/>
    </row>
    <row r="21" spans="2:21" x14ac:dyDescent="0.2">
      <c r="P21" s="13"/>
      <c r="Q21" s="13"/>
      <c r="R21" s="13"/>
      <c r="S21" s="13"/>
    </row>
    <row r="22" spans="2:21" x14ac:dyDescent="0.2">
      <c r="P22" s="114" t="s">
        <v>175</v>
      </c>
      <c r="Q22" s="51"/>
      <c r="R22" s="51"/>
      <c r="S22" s="51"/>
    </row>
    <row r="23" spans="2:21" x14ac:dyDescent="0.2">
      <c r="P23" s="13"/>
      <c r="Q23" s="13"/>
      <c r="R23" s="13"/>
      <c r="S23" s="13"/>
    </row>
    <row r="24" spans="2:21" ht="13.5" customHeight="1" x14ac:dyDescent="0.2">
      <c r="P24" s="13" t="s">
        <v>55</v>
      </c>
      <c r="Q24" s="20">
        <v>0.45400000000000001</v>
      </c>
      <c r="R24" s="13"/>
      <c r="S24" s="13"/>
    </row>
    <row r="25" spans="2:21" ht="13.5" customHeight="1" x14ac:dyDescent="0.2">
      <c r="P25" s="13" t="s">
        <v>56</v>
      </c>
      <c r="Q25" s="20">
        <v>0.54600000000000004</v>
      </c>
      <c r="R25" s="13"/>
      <c r="S25" s="13"/>
    </row>
    <row r="26" spans="2:21" s="4" customFormat="1" ht="13.5" customHeight="1" x14ac:dyDescent="0.2">
      <c r="P26" s="765"/>
      <c r="Q26" s="765"/>
      <c r="R26" s="765"/>
      <c r="S26" s="765"/>
      <c r="T26" s="765"/>
      <c r="U26" s="765"/>
    </row>
    <row r="27" spans="2:21" s="4" customFormat="1" ht="13.5" customHeight="1" x14ac:dyDescent="0.2">
      <c r="P27" s="765"/>
      <c r="Q27" s="765"/>
      <c r="R27" s="765"/>
      <c r="S27" s="765"/>
      <c r="T27" s="765"/>
      <c r="U27" s="765"/>
    </row>
    <row r="28" spans="2:21" ht="13.5" thickBot="1" x14ac:dyDescent="0.25">
      <c r="G28" s="765" t="s">
        <v>135</v>
      </c>
      <c r="P28" s="10" t="s">
        <v>57</v>
      </c>
      <c r="U28" s="52" t="s">
        <v>53</v>
      </c>
    </row>
    <row r="29" spans="2:21" ht="78" customHeight="1" x14ac:dyDescent="0.2">
      <c r="B29" s="508" t="s">
        <v>47</v>
      </c>
      <c r="C29" s="870" t="s">
        <v>481</v>
      </c>
      <c r="D29" s="871"/>
      <c r="E29" s="508" t="s">
        <v>215</v>
      </c>
      <c r="F29" s="508" t="s">
        <v>287</v>
      </c>
      <c r="G29" s="508" t="s">
        <v>284</v>
      </c>
      <c r="H29" s="508" t="s">
        <v>42</v>
      </c>
      <c r="I29" s="62"/>
      <c r="J29" s="61" t="s">
        <v>13</v>
      </c>
      <c r="P29" s="4" t="s">
        <v>58</v>
      </c>
      <c r="Q29" s="4"/>
      <c r="T29" s="6">
        <f>SUM(U29)*$T$33</f>
        <v>25476115.117799997</v>
      </c>
      <c r="U29" s="77">
        <f>G33+G34</f>
        <v>0.50459999999999994</v>
      </c>
    </row>
    <row r="30" spans="2:21" ht="28.5" customHeight="1" x14ac:dyDescent="0.25">
      <c r="B30" s="476" t="s">
        <v>283</v>
      </c>
      <c r="C30" s="477"/>
      <c r="D30" s="513">
        <f>'ES CT Electric Table A  '!N14+'ES CT Electric Table A  '!N30*50%+'ES CT Electric Table A  '!N34*25%+'ES CT Electric Table A  '!N11*11%+'ES CT Electric Table A  '!N24*11%+'ES CT Electric Table A  '!N31*0.8*11%</f>
        <v>17627506.533768862</v>
      </c>
      <c r="E30" s="479">
        <f>D30/D44</f>
        <v>0.12182731356416511</v>
      </c>
      <c r="F30" s="480">
        <f>D30/D38</f>
        <v>0.13507678972929096</v>
      </c>
      <c r="G30" s="479">
        <v>0.125</v>
      </c>
      <c r="H30" s="480">
        <f>F30-G30</f>
        <v>1.0076789729290964E-2</v>
      </c>
      <c r="I30" s="930" t="s">
        <v>493</v>
      </c>
      <c r="J30" s="930"/>
      <c r="P30" s="4" t="s">
        <v>49</v>
      </c>
      <c r="Q30" s="4"/>
      <c r="T30" s="6" t="e">
        <f>SUM(U30)*$T$33</f>
        <v>#REF!</v>
      </c>
      <c r="U30" s="53" t="e">
        <f>#REF!</f>
        <v>#REF!</v>
      </c>
    </row>
    <row r="31" spans="2:21" ht="24" customHeight="1" x14ac:dyDescent="0.25">
      <c r="B31" s="476" t="s">
        <v>288</v>
      </c>
      <c r="C31" s="477"/>
      <c r="D31" s="513">
        <f>'ES CT Electric Table A  '!N50-D30</f>
        <v>47155118.243748344</v>
      </c>
      <c r="E31" s="479">
        <f>D31/D44</f>
        <v>0.32589869505543417</v>
      </c>
      <c r="F31" s="480">
        <f>D31/D38</f>
        <v>0.3613422000138552</v>
      </c>
      <c r="G31" s="479">
        <f>49.54%-G30</f>
        <v>0.37040000000000001</v>
      </c>
      <c r="H31" s="480">
        <f>F31-G31</f>
        <v>-9.05779998614481E-3</v>
      </c>
      <c r="J31" s="94"/>
      <c r="K31" s="37"/>
      <c r="L31" s="37"/>
      <c r="M31" s="37"/>
      <c r="N31" s="37"/>
      <c r="P31" s="4" t="s">
        <v>59</v>
      </c>
      <c r="Q31" s="4"/>
      <c r="T31" s="6" t="e">
        <f>SUM(U31)*$T$33</f>
        <v>#REF!</v>
      </c>
      <c r="U31" s="53" t="e">
        <f>#REF!</f>
        <v>#REF!</v>
      </c>
    </row>
    <row r="32" spans="2:21" ht="17.25" thickBot="1" x14ac:dyDescent="0.3">
      <c r="B32" s="481" t="s">
        <v>48</v>
      </c>
      <c r="C32" s="482"/>
      <c r="D32" s="514">
        <f>SUM(D30:D31)</f>
        <v>64782624.777517207</v>
      </c>
      <c r="E32" s="484">
        <f>SUM(E30:E31)</f>
        <v>0.44772600861959927</v>
      </c>
      <c r="F32" s="484">
        <f>SUM(F30:F31)</f>
        <v>0.49641898974314613</v>
      </c>
      <c r="G32" s="484">
        <f>SUM(G30:G31)</f>
        <v>0.49540000000000001</v>
      </c>
      <c r="H32" s="484">
        <f>SUM(H30:H31)</f>
        <v>1.0189897431461536E-3</v>
      </c>
      <c r="I32" s="105"/>
      <c r="J32" s="105"/>
      <c r="P32" s="54" t="s">
        <v>60</v>
      </c>
      <c r="Q32" s="4"/>
      <c r="T32" s="55">
        <f>SUM(U32)*$T$33</f>
        <v>25011627.882199999</v>
      </c>
      <c r="U32" s="56">
        <f>G30+G31</f>
        <v>0.49540000000000001</v>
      </c>
    </row>
    <row r="33" spans="2:21" ht="28.5" customHeight="1" x14ac:dyDescent="0.25">
      <c r="B33" s="476" t="s">
        <v>113</v>
      </c>
      <c r="C33" s="477"/>
      <c r="D33" s="513">
        <f>SUM(Q12*('ES CT Electric Table A  '!N51))</f>
        <v>29835639.528702106</v>
      </c>
      <c r="E33" s="479">
        <f>D33/D44</f>
        <v>0.20620022493183843</v>
      </c>
      <c r="F33" s="480">
        <f>D33/D38</f>
        <v>0.22862577865661168</v>
      </c>
      <c r="G33" s="480">
        <f>E33/E36*G36</f>
        <v>0.2290884</v>
      </c>
      <c r="H33" s="480">
        <f>F33-G33</f>
        <v>-4.6262134338831418E-4</v>
      </c>
      <c r="I33" s="933" t="s">
        <v>13</v>
      </c>
      <c r="J33" s="934"/>
      <c r="K33" s="918"/>
      <c r="L33" s="932"/>
      <c r="M33" s="932"/>
      <c r="N33" s="760"/>
      <c r="O33" s="760"/>
      <c r="P33" s="4" t="s">
        <v>9</v>
      </c>
      <c r="Q33" s="4"/>
      <c r="T33" s="6">
        <v>50487743</v>
      </c>
      <c r="U33" s="53" t="e">
        <f>SUM(U29:U32)</f>
        <v>#REF!</v>
      </c>
    </row>
    <row r="34" spans="2:21" ht="24.75" customHeight="1" x14ac:dyDescent="0.25">
      <c r="B34" s="476" t="s">
        <v>112</v>
      </c>
      <c r="C34" s="477"/>
      <c r="D34" s="513">
        <f>'ES CT Electric Table A  '!N51-D33</f>
        <v>35881628.155663759</v>
      </c>
      <c r="E34" s="479">
        <f>D34/D44</f>
        <v>0.24798529253917126</v>
      </c>
      <c r="F34" s="480">
        <f>D34/D38</f>
        <v>0.27495523160024221</v>
      </c>
      <c r="G34" s="480">
        <f>E34/E36*G36</f>
        <v>0.27551159999999991</v>
      </c>
      <c r="H34" s="480">
        <f>F34-G34</f>
        <v>-5.5636839975770069E-4</v>
      </c>
      <c r="I34" s="763" t="s">
        <v>492</v>
      </c>
      <c r="J34" s="116"/>
      <c r="L34" s="764"/>
      <c r="M34" s="64"/>
    </row>
    <row r="35" spans="2:21" ht="16.5" x14ac:dyDescent="0.25">
      <c r="B35" s="872"/>
      <c r="C35" s="873"/>
      <c r="D35" s="873"/>
      <c r="E35" s="873"/>
      <c r="F35" s="873"/>
      <c r="G35" s="873"/>
      <c r="H35" s="874"/>
      <c r="I35" s="115"/>
      <c r="J35" s="115"/>
      <c r="L35" s="65"/>
      <c r="M35" s="65"/>
      <c r="T35" s="6"/>
    </row>
    <row r="36" spans="2:21" ht="16.5" x14ac:dyDescent="0.25">
      <c r="B36" s="481" t="s">
        <v>50</v>
      </c>
      <c r="C36" s="482"/>
      <c r="D36" s="483">
        <f>SUM(D33:D35)</f>
        <v>65717267.684365869</v>
      </c>
      <c r="E36" s="484">
        <f>SUM(E33:E35)</f>
        <v>0.45418551747100966</v>
      </c>
      <c r="F36" s="484">
        <f>SUM(F33:F35)</f>
        <v>0.50358101025685387</v>
      </c>
      <c r="G36" s="484">
        <f>1-G32</f>
        <v>0.50459999999999994</v>
      </c>
      <c r="H36" s="484">
        <f>SUM(H33:H35)</f>
        <v>-1.0189897431460149E-3</v>
      </c>
      <c r="I36" s="106"/>
      <c r="J36" s="107"/>
    </row>
    <row r="37" spans="2:21" ht="16.5" x14ac:dyDescent="0.25">
      <c r="B37" s="865"/>
      <c r="C37" s="866"/>
      <c r="D37" s="866"/>
      <c r="E37" s="866"/>
      <c r="F37" s="866"/>
      <c r="G37" s="866"/>
      <c r="H37" s="867"/>
      <c r="I37" s="95"/>
      <c r="J37" s="96"/>
    </row>
    <row r="38" spans="2:21" ht="16.5" x14ac:dyDescent="0.25">
      <c r="B38" s="481" t="s">
        <v>101</v>
      </c>
      <c r="C38" s="482"/>
      <c r="D38" s="483">
        <f>D32+D36</f>
        <v>130499892.46188307</v>
      </c>
      <c r="E38" s="484">
        <f>E32+E36</f>
        <v>0.90191152609060898</v>
      </c>
      <c r="F38" s="484">
        <f>F32+F36</f>
        <v>1</v>
      </c>
      <c r="G38" s="484">
        <f>G32+G36</f>
        <v>1</v>
      </c>
      <c r="H38" s="484">
        <f>H32+H36</f>
        <v>1.3877787807814457E-16</v>
      </c>
      <c r="I38" s="95"/>
      <c r="J38" s="96"/>
    </row>
    <row r="39" spans="2:21" ht="16.5" x14ac:dyDescent="0.25">
      <c r="B39" s="872"/>
      <c r="C39" s="873"/>
      <c r="D39" s="873"/>
      <c r="E39" s="873"/>
      <c r="F39" s="873"/>
      <c r="G39" s="873"/>
      <c r="H39" s="874"/>
      <c r="I39" s="97"/>
      <c r="J39" s="98"/>
    </row>
    <row r="40" spans="2:21" s="38" customFormat="1" ht="15" customHeight="1" x14ac:dyDescent="0.25">
      <c r="B40" s="859" t="s">
        <v>51</v>
      </c>
      <c r="C40" s="860"/>
      <c r="D40" s="860"/>
      <c r="E40" s="860"/>
      <c r="F40" s="860"/>
      <c r="G40" s="860"/>
      <c r="H40" s="861"/>
      <c r="I40" s="99"/>
      <c r="J40" s="100"/>
    </row>
    <row r="41" spans="2:21" s="38" customFormat="1" ht="24.75" customHeight="1" x14ac:dyDescent="0.25">
      <c r="B41" s="476" t="s">
        <v>51</v>
      </c>
      <c r="C41" s="477"/>
      <c r="D41" s="509">
        <f>'ES CT Electric Table A  '!N52</f>
        <v>14192672.924816091</v>
      </c>
      <c r="E41" s="479">
        <f>D41/D44</f>
        <v>9.8088473909390989E-2</v>
      </c>
      <c r="F41" s="485"/>
      <c r="G41" s="486"/>
      <c r="H41" s="486"/>
      <c r="I41" s="99"/>
      <c r="J41" s="100"/>
    </row>
    <row r="42" spans="2:21" s="38" customFormat="1" ht="21" customHeight="1" x14ac:dyDescent="0.25">
      <c r="B42" s="487" t="s">
        <v>52</v>
      </c>
      <c r="C42" s="488"/>
      <c r="D42" s="483">
        <f>SUM(D41)</f>
        <v>14192672.924816091</v>
      </c>
      <c r="E42" s="484">
        <f>SUM(E41)</f>
        <v>9.8088473909390989E-2</v>
      </c>
      <c r="F42" s="489"/>
      <c r="G42" s="510"/>
      <c r="H42" s="510"/>
      <c r="I42" s="99"/>
      <c r="J42" s="99"/>
    </row>
    <row r="43" spans="2:21" s="38" customFormat="1" ht="16.5" x14ac:dyDescent="0.25">
      <c r="B43" s="862"/>
      <c r="C43" s="863"/>
      <c r="D43" s="863"/>
      <c r="E43" s="863"/>
      <c r="F43" s="863"/>
      <c r="G43" s="863"/>
      <c r="H43" s="864"/>
      <c r="I43" s="99"/>
      <c r="J43" s="99"/>
    </row>
    <row r="44" spans="2:21" s="38" customFormat="1" ht="16.5" x14ac:dyDescent="0.25">
      <c r="B44" s="487" t="s">
        <v>212</v>
      </c>
      <c r="C44" s="488"/>
      <c r="D44" s="490">
        <f>D42+D38</f>
        <v>144692565.38669917</v>
      </c>
      <c r="E44" s="484">
        <f>E38+E42</f>
        <v>1</v>
      </c>
      <c r="F44" s="511"/>
      <c r="G44" s="511"/>
      <c r="H44" s="511"/>
      <c r="I44" s="99"/>
      <c r="J44" s="99"/>
    </row>
    <row r="45" spans="2:21" s="41" customFormat="1" ht="16.5" x14ac:dyDescent="0.25">
      <c r="B45" s="927"/>
      <c r="C45" s="927"/>
      <c r="D45" s="927"/>
      <c r="E45" s="927"/>
      <c r="F45" s="927"/>
      <c r="G45" s="494"/>
      <c r="H45" s="494"/>
      <c r="I45" s="76"/>
    </row>
    <row r="46" spans="2:21" s="41" customFormat="1" ht="16.5" x14ac:dyDescent="0.25">
      <c r="B46" s="762" t="s">
        <v>285</v>
      </c>
      <c r="C46" s="762"/>
      <c r="D46" s="762"/>
      <c r="E46" s="762"/>
      <c r="F46" s="762"/>
      <c r="G46" s="494"/>
      <c r="H46" s="494"/>
      <c r="I46" s="76"/>
    </row>
    <row r="47" spans="2:21" s="41" customFormat="1" ht="16.5" x14ac:dyDescent="0.25">
      <c r="B47" s="497" t="s">
        <v>295</v>
      </c>
      <c r="C47" s="497"/>
      <c r="D47" s="496"/>
      <c r="E47" s="498"/>
      <c r="F47" s="498"/>
      <c r="G47" s="499"/>
      <c r="H47" s="500"/>
    </row>
    <row r="48" spans="2:21" s="41" customFormat="1" ht="16.5" x14ac:dyDescent="0.25">
      <c r="B48" s="497" t="s">
        <v>286</v>
      </c>
      <c r="C48" s="497"/>
      <c r="D48" s="496"/>
      <c r="E48" s="500"/>
      <c r="F48" s="500"/>
      <c r="G48" s="500"/>
      <c r="H48" s="500"/>
    </row>
    <row r="49" spans="2:8" x14ac:dyDescent="0.2">
      <c r="B49" s="167" t="s">
        <v>13</v>
      </c>
    </row>
    <row r="50" spans="2:8" x14ac:dyDescent="0.2">
      <c r="B50" s="45"/>
      <c r="C50" s="45"/>
      <c r="D50" s="46"/>
      <c r="E50" s="13"/>
      <c r="F50" s="13"/>
      <c r="G50" s="13"/>
      <c r="H50" s="13"/>
    </row>
    <row r="51" spans="2:8" x14ac:dyDescent="0.2">
      <c r="B51" s="13"/>
      <c r="C51" s="13"/>
      <c r="D51" s="47"/>
      <c r="E51" s="13"/>
      <c r="F51" s="13"/>
      <c r="G51" s="13"/>
      <c r="H51" s="13"/>
    </row>
  </sheetData>
  <mergeCells count="12">
    <mergeCell ref="B45:F45"/>
    <mergeCell ref="B2:O2"/>
    <mergeCell ref="B3:O3"/>
    <mergeCell ref="C29:D29"/>
    <mergeCell ref="I30:J30"/>
    <mergeCell ref="I33:K33"/>
    <mergeCell ref="L33:M33"/>
    <mergeCell ref="B35:H35"/>
    <mergeCell ref="B37:H37"/>
    <mergeCell ref="B39:H39"/>
    <mergeCell ref="B40:H40"/>
    <mergeCell ref="B43:H43"/>
  </mergeCells>
  <pageMargins left="0.75" right="0.75" top="1" bottom="1" header="0.5" footer="0.5"/>
  <pageSetup scale="57" orientation="landscape"/>
  <headerFooter alignWithMargins="0">
    <oddFooter xml:space="preserve">&amp;CTotals may vary due to rounding
</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62212-6CA2-4A0F-B870-963C430A7BCB}">
  <sheetPr>
    <tabColor theme="9" tint="0.39997558519241921"/>
    <pageSetUpPr fitToPage="1"/>
  </sheetPr>
  <dimension ref="B2:V51"/>
  <sheetViews>
    <sheetView showGridLines="0" topLeftCell="A26" zoomScale="80" zoomScaleNormal="80" workbookViewId="0">
      <selection activeCell="D32" sqref="D32"/>
    </sheetView>
  </sheetViews>
  <sheetFormatPr defaultRowHeight="12.75" x14ac:dyDescent="0.2"/>
  <cols>
    <col min="2" max="2" width="38.42578125" customWidth="1"/>
    <col min="3" max="3" width="3.5703125" customWidth="1"/>
    <col min="4" max="4" width="17" customWidth="1"/>
    <col min="5" max="5" width="16" customWidth="1"/>
    <col min="6" max="6" width="18" customWidth="1"/>
    <col min="7" max="7" width="18.140625" customWidth="1"/>
    <col min="8" max="8" width="16.5703125" customWidth="1"/>
    <col min="9" max="9" width="13.140625" customWidth="1"/>
    <col min="10" max="10" width="12.28515625" customWidth="1"/>
    <col min="14" max="14" width="3.28515625" customWidth="1"/>
    <col min="15" max="15" width="4.5703125" customWidth="1"/>
    <col min="16" max="16" width="11.28515625" hidden="1" customWidth="1"/>
    <col min="17" max="19" width="9.140625" hidden="1" customWidth="1"/>
    <col min="20" max="20" width="16.42578125" hidden="1" customWidth="1"/>
    <col min="21" max="22" width="9.140625" hidden="1" customWidth="1"/>
    <col min="23" max="23" width="9.140625" customWidth="1"/>
  </cols>
  <sheetData>
    <row r="2" spans="2:19" ht="47.25" customHeight="1" x14ac:dyDescent="0.35">
      <c r="B2" s="868" t="s">
        <v>404</v>
      </c>
      <c r="C2" s="869"/>
      <c r="D2" s="869"/>
      <c r="E2" s="869"/>
      <c r="F2" s="869"/>
      <c r="G2" s="869"/>
      <c r="H2" s="869"/>
      <c r="I2" s="869"/>
      <c r="J2" s="869"/>
      <c r="K2" s="869"/>
      <c r="L2" s="869"/>
      <c r="M2" s="869"/>
      <c r="N2" s="869"/>
      <c r="O2" s="869"/>
    </row>
    <row r="3" spans="2:19" ht="23.25" x14ac:dyDescent="0.35">
      <c r="B3" s="869" t="s">
        <v>143</v>
      </c>
      <c r="C3" s="869"/>
      <c r="D3" s="869"/>
      <c r="E3" s="869"/>
      <c r="F3" s="869"/>
      <c r="G3" s="869"/>
      <c r="H3" s="869"/>
      <c r="I3" s="869"/>
      <c r="J3" s="869"/>
      <c r="K3" s="869"/>
      <c r="L3" s="869"/>
      <c r="M3" s="869"/>
      <c r="N3" s="869"/>
      <c r="O3" s="869"/>
    </row>
    <row r="4" spans="2:19" x14ac:dyDescent="0.2">
      <c r="P4" s="113" t="s">
        <v>172</v>
      </c>
      <c r="Q4" s="48"/>
      <c r="R4" s="17"/>
      <c r="S4" s="17"/>
    </row>
    <row r="5" spans="2:19" x14ac:dyDescent="0.2">
      <c r="P5" s="49"/>
      <c r="Q5" s="20"/>
      <c r="R5" s="13"/>
      <c r="S5" s="13"/>
    </row>
    <row r="6" spans="2:19" x14ac:dyDescent="0.2">
      <c r="P6" s="49" t="s">
        <v>54</v>
      </c>
      <c r="Q6" s="20">
        <v>0.2</v>
      </c>
      <c r="R6" s="13"/>
      <c r="S6" s="13"/>
    </row>
    <row r="7" spans="2:19" x14ac:dyDescent="0.2">
      <c r="P7" s="49" t="s">
        <v>6</v>
      </c>
      <c r="Q7" s="20">
        <v>0.8</v>
      </c>
      <c r="R7" s="13"/>
      <c r="S7" s="13"/>
    </row>
    <row r="8" spans="2:19" x14ac:dyDescent="0.2">
      <c r="P8" s="49"/>
      <c r="Q8" s="20"/>
      <c r="R8" s="13"/>
      <c r="S8" s="13"/>
    </row>
    <row r="9" spans="2:19" x14ac:dyDescent="0.2">
      <c r="P9" s="13"/>
      <c r="Q9" s="13"/>
      <c r="R9" s="13"/>
      <c r="S9" s="13"/>
    </row>
    <row r="10" spans="2:19" x14ac:dyDescent="0.2">
      <c r="P10" s="113" t="s">
        <v>173</v>
      </c>
      <c r="Q10" s="17"/>
      <c r="R10" s="17"/>
      <c r="S10" s="17"/>
    </row>
    <row r="11" spans="2:19" x14ac:dyDescent="0.2">
      <c r="P11" s="13"/>
      <c r="Q11" s="13"/>
      <c r="R11" s="13"/>
      <c r="S11" s="13"/>
    </row>
    <row r="12" spans="2:19" ht="18" x14ac:dyDescent="0.25">
      <c r="P12" s="13" t="s">
        <v>55</v>
      </c>
      <c r="Q12" s="562">
        <v>0.45400000000000001</v>
      </c>
      <c r="R12" s="13"/>
      <c r="S12" s="13"/>
    </row>
    <row r="13" spans="2:19" x14ac:dyDescent="0.2">
      <c r="P13" s="13" t="s">
        <v>56</v>
      </c>
      <c r="Q13" s="20">
        <v>0.54600000000000004</v>
      </c>
      <c r="R13" s="13"/>
      <c r="S13" s="13"/>
    </row>
    <row r="14" spans="2:19" x14ac:dyDescent="0.2">
      <c r="P14" s="13"/>
      <c r="Q14" s="13"/>
      <c r="R14" s="13"/>
      <c r="S14" s="13"/>
    </row>
    <row r="16" spans="2:19" x14ac:dyDescent="0.2">
      <c r="P16" s="114" t="s">
        <v>174</v>
      </c>
      <c r="Q16" s="50"/>
      <c r="R16" s="51"/>
      <c r="S16" s="51"/>
    </row>
    <row r="17" spans="2:21" x14ac:dyDescent="0.2">
      <c r="P17" s="49"/>
      <c r="Q17" s="20"/>
      <c r="R17" s="13"/>
      <c r="S17" s="13"/>
    </row>
    <row r="18" spans="2:21" x14ac:dyDescent="0.2">
      <c r="P18" s="49" t="s">
        <v>54</v>
      </c>
      <c r="Q18" s="20">
        <v>0.33700000000000002</v>
      </c>
      <c r="R18" s="13"/>
      <c r="S18" s="13"/>
    </row>
    <row r="19" spans="2:21" x14ac:dyDescent="0.2">
      <c r="P19" s="49" t="s">
        <v>6</v>
      </c>
      <c r="Q19" s="20">
        <v>0.66400000000000003</v>
      </c>
      <c r="R19" s="13"/>
      <c r="S19" s="13"/>
    </row>
    <row r="20" spans="2:21" x14ac:dyDescent="0.2">
      <c r="P20" s="49"/>
      <c r="Q20" s="20"/>
      <c r="R20" s="13"/>
      <c r="S20" s="13"/>
    </row>
    <row r="21" spans="2:21" x14ac:dyDescent="0.2">
      <c r="P21" s="13"/>
      <c r="Q21" s="13"/>
      <c r="R21" s="13"/>
      <c r="S21" s="13"/>
    </row>
    <row r="22" spans="2:21" x14ac:dyDescent="0.2">
      <c r="P22" s="114" t="s">
        <v>175</v>
      </c>
      <c r="Q22" s="51"/>
      <c r="R22" s="51"/>
      <c r="S22" s="51"/>
    </row>
    <row r="23" spans="2:21" x14ac:dyDescent="0.2">
      <c r="P23" s="13"/>
      <c r="Q23" s="13"/>
      <c r="R23" s="13"/>
      <c r="S23" s="13"/>
    </row>
    <row r="24" spans="2:21" ht="13.5" customHeight="1" x14ac:dyDescent="0.2">
      <c r="P24" s="13" t="s">
        <v>55</v>
      </c>
      <c r="Q24" s="20">
        <v>0.45400000000000001</v>
      </c>
      <c r="R24" s="13"/>
      <c r="S24" s="13"/>
    </row>
    <row r="25" spans="2:21" ht="13.5" customHeight="1" x14ac:dyDescent="0.2">
      <c r="P25" s="13" t="s">
        <v>56</v>
      </c>
      <c r="Q25" s="20">
        <v>0.54600000000000004</v>
      </c>
      <c r="R25" s="13"/>
      <c r="S25" s="13"/>
    </row>
    <row r="26" spans="2:21" s="4" customFormat="1" ht="13.5" customHeight="1" x14ac:dyDescent="0.2">
      <c r="P26"/>
      <c r="Q26"/>
      <c r="R26"/>
      <c r="S26"/>
      <c r="T26"/>
      <c r="U26"/>
    </row>
    <row r="27" spans="2:21" s="4" customFormat="1" ht="13.5" customHeight="1" x14ac:dyDescent="0.2">
      <c r="P27"/>
      <c r="Q27"/>
      <c r="R27"/>
      <c r="S27"/>
      <c r="T27"/>
      <c r="U27"/>
    </row>
    <row r="28" spans="2:21" ht="13.5" thickBot="1" x14ac:dyDescent="0.25">
      <c r="G28" t="s">
        <v>135</v>
      </c>
      <c r="P28" s="10" t="s">
        <v>57</v>
      </c>
      <c r="U28" s="52" t="s">
        <v>53</v>
      </c>
    </row>
    <row r="29" spans="2:21" ht="78" customHeight="1" x14ac:dyDescent="0.2">
      <c r="B29" s="508" t="s">
        <v>47</v>
      </c>
      <c r="C29" s="870" t="s">
        <v>481</v>
      </c>
      <c r="D29" s="871"/>
      <c r="E29" s="508" t="s">
        <v>215</v>
      </c>
      <c r="F29" s="508" t="s">
        <v>287</v>
      </c>
      <c r="G29" s="508" t="s">
        <v>284</v>
      </c>
      <c r="H29" s="508" t="s">
        <v>42</v>
      </c>
      <c r="I29" s="62"/>
      <c r="J29" s="61" t="s">
        <v>13</v>
      </c>
      <c r="P29" s="4" t="s">
        <v>58</v>
      </c>
      <c r="Q29" s="4"/>
      <c r="T29" s="6">
        <f>SUM(U29)*$T$33</f>
        <v>25183286.2084</v>
      </c>
      <c r="U29" s="77">
        <f>G33+G34</f>
        <v>0.49880000000000002</v>
      </c>
    </row>
    <row r="30" spans="2:21" ht="28.5" customHeight="1" x14ac:dyDescent="0.25">
      <c r="B30" s="476" t="s">
        <v>283</v>
      </c>
      <c r="C30" s="477"/>
      <c r="D30" s="513">
        <f>'ES CT Electric Table A  '!Q14+'ES CT Electric Table A  '!Q30*50%+'ES CT Electric Table A  '!Q34*25%+'ES CT Electric Table A  '!Q11*11%+'ES CT Electric Table A  '!Q24*11%+'ES CT Electric Table A  '!Q31*0.8*11%</f>
        <v>17551453.473768864</v>
      </c>
      <c r="E30" s="479">
        <f>D30/D44</f>
        <v>0.11981121105266317</v>
      </c>
      <c r="F30" s="480">
        <f>D30/D38</f>
        <v>0.13275014691655657</v>
      </c>
      <c r="G30" s="479">
        <v>0.125</v>
      </c>
      <c r="H30" s="480">
        <f>F30-G30</f>
        <v>7.7501469165565662E-3</v>
      </c>
      <c r="I30" s="930" t="s">
        <v>495</v>
      </c>
      <c r="J30" s="930"/>
      <c r="P30" s="4" t="s">
        <v>49</v>
      </c>
      <c r="Q30" s="4"/>
      <c r="T30" s="6" t="e">
        <f>SUM(U30)*$T$33</f>
        <v>#REF!</v>
      </c>
      <c r="U30" s="53" t="e">
        <f>#REF!</f>
        <v>#REF!</v>
      </c>
    </row>
    <row r="31" spans="2:21" ht="24" customHeight="1" x14ac:dyDescent="0.25">
      <c r="B31" s="476" t="s">
        <v>288</v>
      </c>
      <c r="C31" s="477"/>
      <c r="D31" s="513">
        <f>'ES CT Electric Table A  '!Q50-D30</f>
        <v>47693821.303748339</v>
      </c>
      <c r="E31" s="479">
        <f>D31/D44</f>
        <v>0.32557158292739158</v>
      </c>
      <c r="F31" s="480">
        <f>D31/D38</f>
        <v>0.36073147984849141</v>
      </c>
      <c r="G31" s="479">
        <f>50.12%-G30</f>
        <v>0.37619999999999998</v>
      </c>
      <c r="H31" s="480">
        <f>F31-G31</f>
        <v>-1.5468520151508569E-2</v>
      </c>
      <c r="I31" s="558" t="s">
        <v>494</v>
      </c>
      <c r="J31" s="94"/>
      <c r="K31" s="37"/>
      <c r="L31" s="37"/>
      <c r="M31" s="37"/>
      <c r="N31" s="37"/>
      <c r="P31" s="4" t="s">
        <v>59</v>
      </c>
      <c r="Q31" s="4"/>
      <c r="T31" s="6" t="e">
        <f>SUM(U31)*$T$33</f>
        <v>#REF!</v>
      </c>
      <c r="U31" s="53" t="e">
        <f>#REF!</f>
        <v>#REF!</v>
      </c>
    </row>
    <row r="32" spans="2:21" ht="17.25" thickBot="1" x14ac:dyDescent="0.3">
      <c r="B32" s="481" t="s">
        <v>48</v>
      </c>
      <c r="C32" s="482"/>
      <c r="D32" s="514">
        <f>SUM(D30:D31)</f>
        <v>65245274.7775172</v>
      </c>
      <c r="E32" s="484">
        <f>SUM(E30:E31)</f>
        <v>0.44538279398005476</v>
      </c>
      <c r="F32" s="484">
        <f>SUM(F30:F31)</f>
        <v>0.49348162676504798</v>
      </c>
      <c r="G32" s="484">
        <f>SUM(G30:G31)</f>
        <v>0.50119999999999998</v>
      </c>
      <c r="H32" s="484">
        <f>SUM(H30:H31)</f>
        <v>-7.7183732349520029E-3</v>
      </c>
      <c r="I32" s="105"/>
      <c r="J32" s="105"/>
      <c r="P32" s="54" t="s">
        <v>60</v>
      </c>
      <c r="Q32" s="4"/>
      <c r="T32" s="55">
        <f>SUM(U32)*$T$33</f>
        <v>25304456.7916</v>
      </c>
      <c r="U32" s="56">
        <f>G30+G31</f>
        <v>0.50119999999999998</v>
      </c>
    </row>
    <row r="33" spans="2:21" ht="28.5" customHeight="1" x14ac:dyDescent="0.25">
      <c r="B33" s="476" t="s">
        <v>113</v>
      </c>
      <c r="C33" s="477"/>
      <c r="D33" s="513">
        <f>SUM(Q12*('ES CT Electric Table A  '!Q51))</f>
        <v>30403888.628702108</v>
      </c>
      <c r="E33" s="479">
        <f>D33/D44</f>
        <v>0.20754558719363331</v>
      </c>
      <c r="F33" s="480">
        <f>D33/D38</f>
        <v>0.22995934144866825</v>
      </c>
      <c r="G33" s="480">
        <f>E33/E36*G36</f>
        <v>0.22645520000000002</v>
      </c>
      <c r="H33" s="480">
        <f>F33-G33</f>
        <v>3.5041414486682299E-3</v>
      </c>
      <c r="I33" s="933" t="s">
        <v>13</v>
      </c>
      <c r="J33" s="934"/>
      <c r="K33" s="918"/>
      <c r="L33" s="932"/>
      <c r="M33" s="932"/>
      <c r="N33" s="557"/>
      <c r="O33" s="557"/>
      <c r="P33" s="4" t="s">
        <v>9</v>
      </c>
      <c r="Q33" s="4"/>
      <c r="T33" s="6">
        <v>50487743</v>
      </c>
      <c r="U33" s="53" t="e">
        <f>SUM(U29:U32)</f>
        <v>#REF!</v>
      </c>
    </row>
    <row r="34" spans="2:21" ht="24.75" customHeight="1" x14ac:dyDescent="0.25">
      <c r="B34" s="476" t="s">
        <v>112</v>
      </c>
      <c r="C34" s="477"/>
      <c r="D34" s="513">
        <f>'ES CT Electric Table A  '!Q51-D33</f>
        <v>36565029.055663764</v>
      </c>
      <c r="E34" s="479">
        <f>D34/D44</f>
        <v>0.2496032832769246</v>
      </c>
      <c r="F34" s="480">
        <f>D34/D38</f>
        <v>0.27655903178628383</v>
      </c>
      <c r="G34" s="480">
        <f>E34/E36*G36</f>
        <v>0.2723448</v>
      </c>
      <c r="H34" s="480">
        <f>F34-G34</f>
        <v>4.2142317862838286E-3</v>
      </c>
      <c r="I34" s="219"/>
      <c r="J34" s="116"/>
      <c r="L34" s="559"/>
      <c r="M34" s="64"/>
    </row>
    <row r="35" spans="2:21" ht="16.5" x14ac:dyDescent="0.25">
      <c r="B35" s="872"/>
      <c r="C35" s="873"/>
      <c r="D35" s="873"/>
      <c r="E35" s="873"/>
      <c r="F35" s="873"/>
      <c r="G35" s="873"/>
      <c r="H35" s="874"/>
      <c r="I35" s="115"/>
      <c r="J35" s="115"/>
      <c r="L35" s="65"/>
      <c r="M35" s="65"/>
      <c r="T35" s="6"/>
    </row>
    <row r="36" spans="2:21" ht="16.5" x14ac:dyDescent="0.25">
      <c r="B36" s="481" t="s">
        <v>50</v>
      </c>
      <c r="C36" s="482"/>
      <c r="D36" s="483">
        <f>SUM(D33:D35)</f>
        <v>66968917.684365869</v>
      </c>
      <c r="E36" s="484">
        <f>SUM(E33:E35)</f>
        <v>0.45714887047055791</v>
      </c>
      <c r="F36" s="484">
        <f>SUM(F33:F35)</f>
        <v>0.50651837323495208</v>
      </c>
      <c r="G36" s="484">
        <f>1-G32</f>
        <v>0.49880000000000002</v>
      </c>
      <c r="H36" s="484">
        <f>SUM(H33:H35)</f>
        <v>7.7183732349520584E-3</v>
      </c>
      <c r="I36" s="106"/>
      <c r="J36" s="107"/>
    </row>
    <row r="37" spans="2:21" ht="16.5" x14ac:dyDescent="0.25">
      <c r="B37" s="865"/>
      <c r="C37" s="866"/>
      <c r="D37" s="866"/>
      <c r="E37" s="866"/>
      <c r="F37" s="866"/>
      <c r="G37" s="866"/>
      <c r="H37" s="867"/>
      <c r="I37" s="95"/>
      <c r="J37" s="96"/>
    </row>
    <row r="38" spans="2:21" ht="16.5" x14ac:dyDescent="0.25">
      <c r="B38" s="481" t="s">
        <v>101</v>
      </c>
      <c r="C38" s="482"/>
      <c r="D38" s="483">
        <f>D32+D36</f>
        <v>132214192.46188307</v>
      </c>
      <c r="E38" s="484">
        <f>E32+E36</f>
        <v>0.90253166445061273</v>
      </c>
      <c r="F38" s="484">
        <f>F32+F36</f>
        <v>1</v>
      </c>
      <c r="G38" s="484">
        <f>G32+G36</f>
        <v>1</v>
      </c>
      <c r="H38" s="484">
        <f>H32+H36</f>
        <v>5.5511151231257827E-17</v>
      </c>
      <c r="I38" s="95"/>
      <c r="J38" s="96"/>
    </row>
    <row r="39" spans="2:21" ht="16.5" x14ac:dyDescent="0.25">
      <c r="B39" s="872"/>
      <c r="C39" s="873"/>
      <c r="D39" s="873"/>
      <c r="E39" s="873"/>
      <c r="F39" s="873"/>
      <c r="G39" s="873"/>
      <c r="H39" s="874"/>
      <c r="I39" s="97"/>
      <c r="J39" s="98"/>
    </row>
    <row r="40" spans="2:21" s="38" customFormat="1" ht="15" customHeight="1" x14ac:dyDescent="0.25">
      <c r="B40" s="859" t="s">
        <v>51</v>
      </c>
      <c r="C40" s="860"/>
      <c r="D40" s="860"/>
      <c r="E40" s="860"/>
      <c r="F40" s="860"/>
      <c r="G40" s="860"/>
      <c r="H40" s="861"/>
      <c r="I40" s="99"/>
      <c r="J40" s="100"/>
    </row>
    <row r="41" spans="2:21" s="38" customFormat="1" ht="24.75" customHeight="1" x14ac:dyDescent="0.25">
      <c r="B41" s="476" t="s">
        <v>51</v>
      </c>
      <c r="C41" s="477"/>
      <c r="D41" s="509">
        <f>'ES CT Electric Table A  '!Q52</f>
        <v>14278387.986653591</v>
      </c>
      <c r="E41" s="479">
        <f>D41/D44</f>
        <v>9.7468335549387344E-2</v>
      </c>
      <c r="F41" s="485"/>
      <c r="G41" s="486"/>
      <c r="H41" s="486"/>
      <c r="I41" s="99"/>
      <c r="J41" s="100"/>
    </row>
    <row r="42" spans="2:21" s="38" customFormat="1" ht="21" customHeight="1" x14ac:dyDescent="0.25">
      <c r="B42" s="487" t="s">
        <v>52</v>
      </c>
      <c r="C42" s="488"/>
      <c r="D42" s="483">
        <f>SUM(D41)</f>
        <v>14278387.986653591</v>
      </c>
      <c r="E42" s="484">
        <f>SUM(E41)</f>
        <v>9.7468335549387344E-2</v>
      </c>
      <c r="F42" s="489"/>
      <c r="G42" s="510"/>
      <c r="H42" s="510"/>
      <c r="I42" s="99"/>
      <c r="J42" s="99"/>
    </row>
    <row r="43" spans="2:21" s="38" customFormat="1" ht="16.5" x14ac:dyDescent="0.25">
      <c r="B43" s="862"/>
      <c r="C43" s="863"/>
      <c r="D43" s="863"/>
      <c r="E43" s="863"/>
      <c r="F43" s="863"/>
      <c r="G43" s="863"/>
      <c r="H43" s="864"/>
      <c r="I43" s="99"/>
      <c r="J43" s="99"/>
    </row>
    <row r="44" spans="2:21" s="38" customFormat="1" ht="16.5" x14ac:dyDescent="0.25">
      <c r="B44" s="487" t="s">
        <v>212</v>
      </c>
      <c r="C44" s="488"/>
      <c r="D44" s="490">
        <f>D42+D38</f>
        <v>146492580.44853666</v>
      </c>
      <c r="E44" s="484">
        <f>E38+E42</f>
        <v>1</v>
      </c>
      <c r="F44" s="511"/>
      <c r="G44" s="511"/>
      <c r="H44" s="511"/>
      <c r="I44" s="99"/>
      <c r="J44" s="99"/>
    </row>
    <row r="45" spans="2:21" s="41" customFormat="1" ht="16.5" x14ac:dyDescent="0.25">
      <c r="B45" s="927"/>
      <c r="C45" s="927"/>
      <c r="D45" s="927"/>
      <c r="E45" s="927"/>
      <c r="F45" s="927"/>
      <c r="G45" s="494"/>
      <c r="H45" s="494"/>
      <c r="I45" s="76"/>
    </row>
    <row r="46" spans="2:21" s="41" customFormat="1" ht="16.5" x14ac:dyDescent="0.25">
      <c r="B46" s="696" t="s">
        <v>285</v>
      </c>
      <c r="C46" s="696"/>
      <c r="D46" s="696"/>
      <c r="E46" s="696"/>
      <c r="F46" s="696"/>
      <c r="G46" s="494"/>
      <c r="H46" s="494"/>
      <c r="I46" s="76"/>
    </row>
    <row r="47" spans="2:21" s="41" customFormat="1" ht="16.5" x14ac:dyDescent="0.25">
      <c r="B47" s="497" t="s">
        <v>295</v>
      </c>
      <c r="C47" s="497"/>
      <c r="D47" s="496"/>
      <c r="E47" s="498"/>
      <c r="F47" s="498"/>
      <c r="G47" s="499"/>
      <c r="H47" s="500"/>
    </row>
    <row r="48" spans="2:21" s="41" customFormat="1" ht="16.5" x14ac:dyDescent="0.25">
      <c r="B48" s="497" t="s">
        <v>286</v>
      </c>
      <c r="C48" s="497"/>
      <c r="D48" s="496"/>
      <c r="E48" s="500"/>
      <c r="F48" s="500"/>
      <c r="G48" s="500"/>
      <c r="H48" s="500"/>
    </row>
    <row r="49" spans="2:8" x14ac:dyDescent="0.2">
      <c r="B49" s="167" t="s">
        <v>13</v>
      </c>
    </row>
    <row r="50" spans="2:8" x14ac:dyDescent="0.2">
      <c r="B50" s="45"/>
      <c r="C50" s="45"/>
      <c r="D50" s="46"/>
      <c r="E50" s="13"/>
      <c r="F50" s="13"/>
      <c r="G50" s="13"/>
      <c r="H50" s="13"/>
    </row>
    <row r="51" spans="2:8" x14ac:dyDescent="0.2">
      <c r="B51" s="13"/>
      <c r="C51" s="13"/>
      <c r="D51" s="47"/>
      <c r="E51" s="13"/>
      <c r="F51" s="13"/>
      <c r="G51" s="13"/>
      <c r="H51" s="13"/>
    </row>
  </sheetData>
  <mergeCells count="12">
    <mergeCell ref="B45:F45"/>
    <mergeCell ref="B2:O2"/>
    <mergeCell ref="B3:O3"/>
    <mergeCell ref="C29:D29"/>
    <mergeCell ref="I30:J30"/>
    <mergeCell ref="I33:K33"/>
    <mergeCell ref="L33:M33"/>
    <mergeCell ref="B35:H35"/>
    <mergeCell ref="B37:H37"/>
    <mergeCell ref="B39:H39"/>
    <mergeCell ref="B40:H40"/>
    <mergeCell ref="B43:H43"/>
  </mergeCells>
  <pageMargins left="0.75" right="0.75" top="1" bottom="1" header="0.5" footer="0.5"/>
  <pageSetup scale="57" orientation="landscape"/>
  <headerFooter alignWithMargins="0">
    <oddFooter xml:space="preserve">&amp;CTotals may vary due to rounding
</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pageSetUpPr fitToPage="1"/>
  </sheetPr>
  <dimension ref="A2:BR66"/>
  <sheetViews>
    <sheetView showGridLines="0" topLeftCell="C1" zoomScale="70" zoomScaleNormal="70" workbookViewId="0">
      <pane ySplit="5" topLeftCell="A6" activePane="bottomLeft" state="frozen"/>
      <selection activeCell="C1" sqref="C1"/>
      <selection pane="bottomLeft" activeCell="E11" sqref="E11"/>
    </sheetView>
  </sheetViews>
  <sheetFormatPr defaultColWidth="9.140625" defaultRowHeight="12.75" x14ac:dyDescent="0.2"/>
  <cols>
    <col min="1" max="1" width="4.85546875" style="126" hidden="1" customWidth="1"/>
    <col min="2" max="2" width="7" style="126" hidden="1" customWidth="1"/>
    <col min="3" max="3" width="7" style="126" customWidth="1"/>
    <col min="4" max="4" width="63.5703125" style="126" customWidth="1"/>
    <col min="5" max="5" width="13.140625" style="143" bestFit="1" customWidth="1"/>
    <col min="6" max="6" width="15.7109375" style="144" customWidth="1"/>
    <col min="7" max="7" width="18.5703125" style="144" customWidth="1"/>
    <col min="8" max="8" width="16.42578125" style="126" bestFit="1" customWidth="1"/>
    <col min="9" max="9" width="15.7109375" style="126" bestFit="1" customWidth="1"/>
    <col min="10" max="10" width="15.42578125" style="126" bestFit="1" customWidth="1"/>
    <col min="11" max="11" width="19.85546875" style="126" bestFit="1" customWidth="1"/>
    <col min="12" max="12" width="21.140625" style="126" customWidth="1"/>
    <col min="13" max="13" width="14.85546875" style="126" bestFit="1" customWidth="1"/>
    <col min="14" max="14" width="20.42578125" style="126" bestFit="1" customWidth="1"/>
    <col min="15" max="15" width="21.5703125" style="127" customWidth="1"/>
    <col min="16" max="16" width="13.140625" style="126" customWidth="1"/>
    <col min="17" max="17" width="12.140625" style="126" customWidth="1"/>
    <col min="18" max="18" width="12.5703125" style="126" customWidth="1"/>
    <col min="19" max="19" width="11.7109375" style="126" customWidth="1"/>
    <col min="20" max="20" width="9.140625" style="126" customWidth="1"/>
    <col min="21" max="21" width="19.42578125" style="126" customWidth="1"/>
    <col min="22" max="22" width="18" style="126" customWidth="1"/>
    <col min="23" max="37" width="9.140625" style="126" customWidth="1"/>
    <col min="38" max="16384" width="9.140625" style="126"/>
  </cols>
  <sheetData>
    <row r="2" spans="2:70" s="125" customFormat="1" ht="27.75" customHeight="1" x14ac:dyDescent="0.45">
      <c r="B2" s="118"/>
      <c r="C2" s="118"/>
      <c r="D2" s="937" t="s">
        <v>171</v>
      </c>
      <c r="E2" s="937"/>
      <c r="F2" s="937"/>
      <c r="G2" s="937"/>
      <c r="H2" s="937"/>
      <c r="I2" s="937"/>
      <c r="J2" s="937"/>
      <c r="K2" s="937"/>
      <c r="L2" s="937"/>
      <c r="M2" s="937"/>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119"/>
      <c r="BK2" s="119"/>
      <c r="BL2" s="119"/>
      <c r="BM2" s="119"/>
      <c r="BN2" s="120"/>
      <c r="BO2" s="121" t="s">
        <v>156</v>
      </c>
      <c r="BP2" s="122">
        <v>3000428</v>
      </c>
      <c r="BQ2" s="123"/>
      <c r="BR2" s="124"/>
    </row>
    <row r="3" spans="2:70" ht="23.25" x14ac:dyDescent="0.35">
      <c r="D3" s="937" t="s">
        <v>267</v>
      </c>
      <c r="E3" s="937"/>
      <c r="F3" s="937"/>
      <c r="G3" s="937"/>
      <c r="H3" s="937"/>
      <c r="I3" s="937"/>
      <c r="J3" s="937"/>
      <c r="K3" s="937"/>
      <c r="L3" s="937"/>
      <c r="M3" s="937"/>
    </row>
    <row r="4" spans="2:70" ht="16.5" customHeight="1" thickBot="1" x14ac:dyDescent="0.3">
      <c r="D4" s="128"/>
      <c r="E4" s="129"/>
      <c r="F4" s="130"/>
      <c r="G4" s="130"/>
      <c r="H4" s="131"/>
      <c r="I4" s="131"/>
      <c r="J4" s="131"/>
      <c r="K4" s="131"/>
      <c r="L4" s="131"/>
      <c r="M4" s="131"/>
    </row>
    <row r="5" spans="2:70" ht="55.5" thickBot="1" x14ac:dyDescent="0.35">
      <c r="B5" s="132"/>
      <c r="C5" s="132"/>
      <c r="D5" s="333" t="s">
        <v>301</v>
      </c>
      <c r="E5" s="334" t="s">
        <v>157</v>
      </c>
      <c r="F5" s="334" t="s">
        <v>32</v>
      </c>
      <c r="G5" s="334" t="s">
        <v>14</v>
      </c>
      <c r="H5" s="334" t="s">
        <v>61</v>
      </c>
      <c r="I5" s="334" t="s">
        <v>12</v>
      </c>
      <c r="J5" s="334" t="s">
        <v>33</v>
      </c>
      <c r="K5" s="334" t="s">
        <v>38</v>
      </c>
      <c r="L5" s="334" t="s">
        <v>34</v>
      </c>
      <c r="M5" s="334" t="s">
        <v>35</v>
      </c>
      <c r="Q5" s="182" t="s">
        <v>14</v>
      </c>
      <c r="R5" s="180" t="s">
        <v>70</v>
      </c>
      <c r="S5" s="180"/>
      <c r="U5" s="182" t="s">
        <v>14</v>
      </c>
      <c r="V5" s="180" t="s">
        <v>70</v>
      </c>
    </row>
    <row r="6" spans="2:70" ht="21" thickBot="1" x14ac:dyDescent="0.35">
      <c r="B6" s="132"/>
      <c r="C6" s="132"/>
      <c r="D6" s="935" t="s">
        <v>15</v>
      </c>
      <c r="E6" s="935"/>
      <c r="F6" s="935"/>
      <c r="G6" s="935"/>
      <c r="H6" s="935"/>
      <c r="I6" s="935"/>
      <c r="J6" s="935"/>
      <c r="K6" s="935"/>
      <c r="L6" s="935"/>
      <c r="M6" s="935"/>
      <c r="Q6" s="180"/>
      <c r="R6" s="180"/>
      <c r="S6" s="180"/>
    </row>
    <row r="7" spans="2:70" ht="19.5" thickBot="1" x14ac:dyDescent="0.35">
      <c r="B7" s="314" t="s">
        <v>29</v>
      </c>
      <c r="C7" s="314"/>
      <c r="D7" s="335" t="s">
        <v>114</v>
      </c>
      <c r="E7" s="336">
        <v>140.6421262444</v>
      </c>
      <c r="F7" s="336">
        <v>1</v>
      </c>
      <c r="G7" s="337">
        <v>800</v>
      </c>
      <c r="H7" s="336">
        <v>27</v>
      </c>
      <c r="I7" s="336">
        <f>N7/1000-E7-F7-G7-H7-J7-K7-L7</f>
        <v>7002.3198737555995</v>
      </c>
      <c r="J7" s="337">
        <v>656.1</v>
      </c>
      <c r="K7" s="336">
        <v>20</v>
      </c>
      <c r="L7" s="336">
        <v>9</v>
      </c>
      <c r="M7" s="338">
        <f t="shared" ref="M7:M12" si="0">SUM(E7:L7)</f>
        <v>8656.0619999999999</v>
      </c>
      <c r="N7" s="317">
        <f>'ES CT Electric Table A  '!G10</f>
        <v>8656062</v>
      </c>
      <c r="O7" s="318">
        <f t="shared" ref="O7:O13" si="1">N7/1000-M7</f>
        <v>0</v>
      </c>
      <c r="Q7" s="181"/>
      <c r="R7" s="181"/>
      <c r="S7" s="181">
        <f t="shared" ref="S7:S12" si="2">SUM(Q7:R7)</f>
        <v>0</v>
      </c>
      <c r="U7" s="183"/>
      <c r="V7" s="183"/>
    </row>
    <row r="8" spans="2:70" s="134" customFormat="1" ht="19.5" thickBot="1" x14ac:dyDescent="0.35">
      <c r="B8" s="314" t="s">
        <v>29</v>
      </c>
      <c r="C8" s="314"/>
      <c r="D8" s="335" t="s">
        <v>115</v>
      </c>
      <c r="E8" s="325">
        <v>186.73816807791999</v>
      </c>
      <c r="F8" s="325">
        <v>1</v>
      </c>
      <c r="G8" s="325">
        <v>100</v>
      </c>
      <c r="H8" s="325">
        <v>2</v>
      </c>
      <c r="I8" s="336">
        <f>N8/1000-E8-F8-G8-H8-J8-K8-L8</f>
        <v>2571.0898319220805</v>
      </c>
      <c r="J8" s="325">
        <f>43.2+35</f>
        <v>78.2</v>
      </c>
      <c r="K8" s="325">
        <v>17.100000000000001</v>
      </c>
      <c r="L8" s="325">
        <v>9</v>
      </c>
      <c r="M8" s="338">
        <f t="shared" si="0"/>
        <v>2965.1280000000002</v>
      </c>
      <c r="N8" s="317">
        <f>'ES CT Electric Table A  '!G11</f>
        <v>2965128</v>
      </c>
      <c r="O8" s="318">
        <f t="shared" si="1"/>
        <v>0</v>
      </c>
      <c r="Q8" s="181"/>
      <c r="R8" s="181"/>
      <c r="S8" s="181">
        <f t="shared" si="2"/>
        <v>0</v>
      </c>
      <c r="U8" s="183"/>
      <c r="V8" s="183"/>
    </row>
    <row r="9" spans="2:70" ht="19.5" thickBot="1" x14ac:dyDescent="0.35">
      <c r="B9" s="320" t="s">
        <v>29</v>
      </c>
      <c r="C9" s="320"/>
      <c r="D9" s="335" t="s">
        <v>199</v>
      </c>
      <c r="E9" s="325">
        <v>1508.149766708797</v>
      </c>
      <c r="F9" s="336">
        <v>4</v>
      </c>
      <c r="G9" s="336">
        <v>1095.732</v>
      </c>
      <c r="H9" s="325">
        <v>100.148</v>
      </c>
      <c r="I9" s="336">
        <f>N9/1000-E9-F9-G9-H9-J9-K9-L9</f>
        <v>30371.569233291204</v>
      </c>
      <c r="J9" s="336">
        <v>750</v>
      </c>
      <c r="K9" s="336">
        <v>40</v>
      </c>
      <c r="L9" s="336">
        <v>20</v>
      </c>
      <c r="M9" s="339">
        <f t="shared" si="0"/>
        <v>33889.599000000002</v>
      </c>
      <c r="N9" s="317">
        <f>'ES CT Electric Table A  '!G12</f>
        <v>33889599</v>
      </c>
      <c r="O9" s="318">
        <f t="shared" si="1"/>
        <v>0</v>
      </c>
      <c r="Q9" s="181"/>
      <c r="R9" s="181"/>
      <c r="S9" s="181">
        <f t="shared" si="2"/>
        <v>0</v>
      </c>
      <c r="U9" s="183"/>
      <c r="V9" s="183"/>
    </row>
    <row r="10" spans="2:70" ht="19.5" thickBot="1" x14ac:dyDescent="0.35">
      <c r="B10" s="320" t="s">
        <v>29</v>
      </c>
      <c r="C10" s="320"/>
      <c r="D10" s="335" t="s">
        <v>197</v>
      </c>
      <c r="E10" s="325">
        <v>118.931215235328</v>
      </c>
      <c r="F10" s="336">
        <v>1</v>
      </c>
      <c r="G10" s="336">
        <v>500</v>
      </c>
      <c r="H10" s="325">
        <v>0</v>
      </c>
      <c r="I10" s="336">
        <f>N10/1000-E10-F10-G10-H10-J10-K10-L10</f>
        <v>11125.141784764672</v>
      </c>
      <c r="J10" s="336">
        <f>191+100</f>
        <v>291</v>
      </c>
      <c r="K10" s="336">
        <v>18</v>
      </c>
      <c r="L10" s="336">
        <v>18</v>
      </c>
      <c r="M10" s="339">
        <f t="shared" si="0"/>
        <v>12072.073</v>
      </c>
      <c r="N10" s="317">
        <f>'ES CT Electric Table A  '!G13</f>
        <v>12072073</v>
      </c>
      <c r="O10" s="318">
        <f t="shared" si="1"/>
        <v>0</v>
      </c>
      <c r="Q10" s="181"/>
      <c r="R10" s="181"/>
      <c r="S10" s="181">
        <f t="shared" si="2"/>
        <v>0</v>
      </c>
      <c r="U10" s="183"/>
      <c r="V10" s="183"/>
    </row>
    <row r="11" spans="2:70" ht="19.5" thickBot="1" x14ac:dyDescent="0.35">
      <c r="B11" s="314" t="s">
        <v>29</v>
      </c>
      <c r="C11" s="314"/>
      <c r="D11" s="335" t="s">
        <v>276</v>
      </c>
      <c r="E11" s="325">
        <v>1642.2428443275196</v>
      </c>
      <c r="F11" s="336">
        <v>5</v>
      </c>
      <c r="G11" s="336">
        <v>600</v>
      </c>
      <c r="H11" s="325">
        <v>89.13</v>
      </c>
      <c r="I11" s="336">
        <f>N11/1000-E11-F11-G11-H11-J11-K11-L11</f>
        <v>16779.519427748797</v>
      </c>
      <c r="J11" s="336">
        <v>750</v>
      </c>
      <c r="K11" s="336">
        <v>25.873727923679802</v>
      </c>
      <c r="L11" s="336">
        <v>34</v>
      </c>
      <c r="M11" s="339">
        <f t="shared" si="0"/>
        <v>19925.765999999996</v>
      </c>
      <c r="N11" s="317">
        <f>'ES CT Electric Table A  '!G14</f>
        <v>19925766</v>
      </c>
      <c r="O11" s="318">
        <f t="shared" si="1"/>
        <v>0</v>
      </c>
      <c r="Q11" s="181"/>
      <c r="R11" s="181"/>
      <c r="S11" s="181">
        <f t="shared" si="2"/>
        <v>0</v>
      </c>
      <c r="U11" s="183"/>
      <c r="V11" s="183"/>
    </row>
    <row r="12" spans="2:70" ht="19.5" thickBot="1" x14ac:dyDescent="0.35">
      <c r="B12" s="314" t="s">
        <v>29</v>
      </c>
      <c r="C12" s="314"/>
      <c r="D12" s="335" t="s">
        <v>140</v>
      </c>
      <c r="E12" s="325">
        <v>0</v>
      </c>
      <c r="F12" s="336">
        <v>0</v>
      </c>
      <c r="G12" s="337">
        <f>SUM(N12/1000-E12-F12-H12-I12-J12-K12-L12)</f>
        <v>0</v>
      </c>
      <c r="H12" s="325">
        <v>0</v>
      </c>
      <c r="I12" s="325">
        <v>0</v>
      </c>
      <c r="J12" s="336">
        <v>0</v>
      </c>
      <c r="K12" s="336">
        <v>0</v>
      </c>
      <c r="L12" s="336">
        <v>0</v>
      </c>
      <c r="M12" s="339">
        <f t="shared" si="0"/>
        <v>0</v>
      </c>
      <c r="N12" s="317">
        <f>'ES CT Electric Table A  '!G15</f>
        <v>0</v>
      </c>
      <c r="O12" s="318">
        <f t="shared" si="1"/>
        <v>0</v>
      </c>
      <c r="Q12" s="181"/>
      <c r="R12" s="181"/>
      <c r="S12" s="181">
        <f t="shared" si="2"/>
        <v>0</v>
      </c>
      <c r="U12" s="183"/>
      <c r="V12" s="183"/>
    </row>
    <row r="13" spans="2:70" ht="19.5" thickBot="1" x14ac:dyDescent="0.35">
      <c r="B13" s="320"/>
      <c r="C13" s="320"/>
      <c r="D13" s="340" t="s">
        <v>291</v>
      </c>
      <c r="E13" s="341">
        <f>SUM(E7:E12)</f>
        <v>3596.7041205939645</v>
      </c>
      <c r="F13" s="341">
        <f t="shared" ref="F13:M13" si="3">SUM(F7:F12)</f>
        <v>12</v>
      </c>
      <c r="G13" s="341">
        <f t="shared" si="3"/>
        <v>3095.732</v>
      </c>
      <c r="H13" s="341">
        <f t="shared" si="3"/>
        <v>218.27799999999999</v>
      </c>
      <c r="I13" s="341">
        <f t="shared" si="3"/>
        <v>67849.640151482352</v>
      </c>
      <c r="J13" s="341">
        <f t="shared" si="3"/>
        <v>2525.3000000000002</v>
      </c>
      <c r="K13" s="341">
        <f t="shared" si="3"/>
        <v>120.9737279236798</v>
      </c>
      <c r="L13" s="341">
        <f t="shared" si="3"/>
        <v>90</v>
      </c>
      <c r="M13" s="341">
        <f t="shared" si="3"/>
        <v>77508.627999999997</v>
      </c>
      <c r="N13" s="317">
        <f>'ES CT Electric Table A  '!G16</f>
        <v>77508628</v>
      </c>
      <c r="O13" s="318">
        <f t="shared" si="1"/>
        <v>0</v>
      </c>
      <c r="Q13" s="181"/>
      <c r="R13" s="181"/>
      <c r="S13" s="181"/>
      <c r="U13" s="180"/>
      <c r="V13" s="180"/>
    </row>
    <row r="14" spans="2:70" ht="19.5" thickBot="1" x14ac:dyDescent="0.35">
      <c r="B14" s="320"/>
      <c r="C14" s="320"/>
      <c r="D14" s="936" t="s">
        <v>16</v>
      </c>
      <c r="E14" s="936"/>
      <c r="F14" s="936"/>
      <c r="G14" s="936"/>
      <c r="H14" s="936"/>
      <c r="I14" s="936"/>
      <c r="J14" s="936"/>
      <c r="K14" s="936"/>
      <c r="L14" s="936"/>
      <c r="M14" s="936"/>
      <c r="N14" s="317"/>
      <c r="O14" s="313"/>
      <c r="Q14" s="181"/>
      <c r="R14" s="181"/>
      <c r="S14" s="181"/>
      <c r="U14" s="180"/>
      <c r="V14" s="180"/>
    </row>
    <row r="15" spans="2:70" ht="19.5" thickBot="1" x14ac:dyDescent="0.35">
      <c r="B15" s="314" t="s">
        <v>30</v>
      </c>
      <c r="C15" s="314"/>
      <c r="D15" s="322" t="s">
        <v>116</v>
      </c>
      <c r="E15" s="323">
        <v>1007.2129930599799</v>
      </c>
      <c r="F15" s="323">
        <v>4</v>
      </c>
      <c r="G15" s="324">
        <v>600.76199999999994</v>
      </c>
      <c r="H15" s="325">
        <v>152.33856</v>
      </c>
      <c r="I15" s="315">
        <f>N15/1000-E15-F15-G15-H15-J15-K15-L15</f>
        <v>8688.5534469400191</v>
      </c>
      <c r="J15" s="323">
        <v>100</v>
      </c>
      <c r="K15" s="323">
        <v>27</v>
      </c>
      <c r="L15" s="323">
        <v>10</v>
      </c>
      <c r="M15" s="316">
        <f>SUM(E15:L15)</f>
        <v>10589.866999999998</v>
      </c>
      <c r="N15" s="317">
        <f>'ES CT Electric Table A  '!G18</f>
        <v>10589867</v>
      </c>
      <c r="O15" s="326">
        <f>N15/1000-M15</f>
        <v>0</v>
      </c>
      <c r="Q15" s="181"/>
      <c r="R15" s="181"/>
      <c r="S15" s="181">
        <f>SUM(Q15:R15)</f>
        <v>0</v>
      </c>
      <c r="U15" s="183"/>
      <c r="V15" s="183"/>
    </row>
    <row r="16" spans="2:70" ht="19.5" thickBot="1" x14ac:dyDescent="0.35">
      <c r="B16" s="314" t="s">
        <v>30</v>
      </c>
      <c r="C16" s="314"/>
      <c r="D16" s="335" t="s">
        <v>127</v>
      </c>
      <c r="E16" s="325">
        <v>3971.6271506155099</v>
      </c>
      <c r="F16" s="325">
        <v>5</v>
      </c>
      <c r="G16" s="344">
        <v>1900</v>
      </c>
      <c r="H16" s="325">
        <v>588.18992000000003</v>
      </c>
      <c r="I16" s="336">
        <f>N16/1000-E16-F16-G16-H16-J16-K16-L16</f>
        <v>30079.942929384491</v>
      </c>
      <c r="J16" s="325">
        <v>250</v>
      </c>
      <c r="K16" s="325">
        <v>150</v>
      </c>
      <c r="L16" s="344">
        <v>90</v>
      </c>
      <c r="M16" s="338">
        <f>SUM(E16:L16)</f>
        <v>37034.76</v>
      </c>
      <c r="N16" s="317">
        <f>'ES CT Electric Table A  '!G19</f>
        <v>37034760</v>
      </c>
      <c r="O16" s="326">
        <f>N16/1000-M16</f>
        <v>0</v>
      </c>
      <c r="Q16" s="181"/>
      <c r="R16" s="181"/>
      <c r="S16" s="181">
        <f>SUM(Q16:R16)</f>
        <v>0</v>
      </c>
      <c r="U16" s="183"/>
      <c r="V16" s="183"/>
    </row>
    <row r="17" spans="2:35" ht="37.5" thickBot="1" x14ac:dyDescent="0.35">
      <c r="B17" s="314" t="s">
        <v>30</v>
      </c>
      <c r="C17" s="314"/>
      <c r="D17" s="355" t="s">
        <v>302</v>
      </c>
      <c r="E17" s="325">
        <v>176.13</v>
      </c>
      <c r="F17" s="325">
        <v>2</v>
      </c>
      <c r="G17" s="344">
        <v>798.14</v>
      </c>
      <c r="H17" s="325">
        <v>0</v>
      </c>
      <c r="I17" s="336">
        <f>N17/1000-E17-F17-G17-H17-J17-K17-L17</f>
        <v>-211.63900000000001</v>
      </c>
      <c r="J17" s="325">
        <v>50</v>
      </c>
      <c r="K17" s="325">
        <v>6</v>
      </c>
      <c r="L17" s="325">
        <v>22</v>
      </c>
      <c r="M17" s="346">
        <f>SUM(E17:L17)</f>
        <v>842.63099999999997</v>
      </c>
      <c r="N17" s="317">
        <f>'ES CT Electric Table A  '!G20</f>
        <v>842631</v>
      </c>
      <c r="O17" s="326">
        <f>N17/1000-M17</f>
        <v>0</v>
      </c>
      <c r="Q17" s="181"/>
      <c r="R17" s="181"/>
      <c r="S17" s="181">
        <f>SUM(Q17:R17)</f>
        <v>0</v>
      </c>
      <c r="U17" s="183"/>
      <c r="V17" s="183"/>
    </row>
    <row r="18" spans="2:35" ht="19.5" thickBot="1" x14ac:dyDescent="0.35">
      <c r="B18" s="314" t="s">
        <v>30</v>
      </c>
      <c r="C18" s="314"/>
      <c r="D18" s="335" t="s">
        <v>126</v>
      </c>
      <c r="E18" s="325">
        <v>1385.65590198934</v>
      </c>
      <c r="F18" s="325">
        <v>5</v>
      </c>
      <c r="G18" s="325">
        <v>400</v>
      </c>
      <c r="H18" s="325">
        <v>50</v>
      </c>
      <c r="I18" s="336">
        <f>N18/1000-E18-F18-G18-H18-J18-K18-L18</f>
        <v>10213.25109801066</v>
      </c>
      <c r="J18" s="325">
        <v>200</v>
      </c>
      <c r="K18" s="325">
        <v>27</v>
      </c>
      <c r="L18" s="325">
        <v>20</v>
      </c>
      <c r="M18" s="346">
        <f>SUM(E18:L18)</f>
        <v>12300.906999999999</v>
      </c>
      <c r="N18" s="317">
        <f>'ES CT Electric Table A  '!G21</f>
        <v>12300907</v>
      </c>
      <c r="O18" s="326">
        <f>N18/1000-M18</f>
        <v>0</v>
      </c>
      <c r="Q18" s="181"/>
      <c r="R18" s="181"/>
      <c r="S18" s="181">
        <f>SUM(Q18:R18)</f>
        <v>0</v>
      </c>
      <c r="U18" s="183"/>
      <c r="V18" s="183"/>
    </row>
    <row r="19" spans="2:35" ht="18.75" thickBot="1" x14ac:dyDescent="0.3">
      <c r="B19" s="314"/>
      <c r="C19" s="314"/>
      <c r="D19" s="340" t="s">
        <v>296</v>
      </c>
      <c r="E19" s="343">
        <f>SUM(E15:E18)</f>
        <v>6540.6260456648306</v>
      </c>
      <c r="F19" s="343">
        <f t="shared" ref="F19:M19" si="4">SUM(F15:F18)</f>
        <v>16</v>
      </c>
      <c r="G19" s="343">
        <f t="shared" si="4"/>
        <v>3698.9019999999996</v>
      </c>
      <c r="H19" s="343">
        <f t="shared" si="4"/>
        <v>790.52848000000006</v>
      </c>
      <c r="I19" s="343">
        <f t="shared" si="4"/>
        <v>48770.108474335168</v>
      </c>
      <c r="J19" s="343">
        <f t="shared" si="4"/>
        <v>600</v>
      </c>
      <c r="K19" s="343">
        <f t="shared" si="4"/>
        <v>210</v>
      </c>
      <c r="L19" s="343">
        <f t="shared" si="4"/>
        <v>142</v>
      </c>
      <c r="M19" s="343">
        <f t="shared" si="4"/>
        <v>60768.165000000001</v>
      </c>
      <c r="N19" s="317">
        <f>'ES CT Electric Table A  '!G22</f>
        <v>60768165</v>
      </c>
      <c r="O19" s="326">
        <f>N19/1000-M19</f>
        <v>0</v>
      </c>
    </row>
    <row r="20" spans="2:35" ht="18.75" thickBot="1" x14ac:dyDescent="0.3">
      <c r="B20" s="314"/>
      <c r="C20" s="314"/>
      <c r="D20" s="935" t="s">
        <v>41</v>
      </c>
      <c r="E20" s="936"/>
      <c r="F20" s="936"/>
      <c r="G20" s="936"/>
      <c r="H20" s="936"/>
      <c r="I20" s="936"/>
      <c r="J20" s="936"/>
      <c r="K20" s="936"/>
      <c r="L20" s="936"/>
      <c r="M20" s="936"/>
      <c r="N20" s="317"/>
      <c r="O20" s="313"/>
    </row>
    <row r="21" spans="2:35" ht="18" x14ac:dyDescent="0.25">
      <c r="B21" s="314"/>
      <c r="C21" s="314"/>
      <c r="D21" s="328" t="s">
        <v>256</v>
      </c>
      <c r="E21" s="319">
        <v>159.65</v>
      </c>
      <c r="F21" s="319">
        <v>0</v>
      </c>
      <c r="G21" s="319">
        <f>N21/1000-E21-F21-H21-I21-J21-K21-L21</f>
        <v>-684.97529999999949</v>
      </c>
      <c r="H21" s="319">
        <v>0</v>
      </c>
      <c r="I21" s="321">
        <f>2835.999</f>
        <v>2835.9989999999998</v>
      </c>
      <c r="J21" s="319">
        <f>97.793+102</f>
        <v>199.79300000000001</v>
      </c>
      <c r="K21" s="319">
        <v>0</v>
      </c>
      <c r="L21" s="319">
        <v>0</v>
      </c>
      <c r="M21" s="327">
        <f>SUM(E21:L21)</f>
        <v>2510.4667000000004</v>
      </c>
      <c r="N21" s="317">
        <f>'ES CT Electric Table A  '!G24</f>
        <v>2510466.7000000002</v>
      </c>
      <c r="O21" s="318">
        <f>N21/1000-M21</f>
        <v>0</v>
      </c>
    </row>
    <row r="22" spans="2:35" ht="18.75" thickBot="1" x14ac:dyDescent="0.3">
      <c r="B22" s="314"/>
      <c r="C22" s="314"/>
      <c r="D22" s="329" t="s">
        <v>258</v>
      </c>
      <c r="E22" s="330">
        <v>159.65</v>
      </c>
      <c r="F22" s="330">
        <v>0</v>
      </c>
      <c r="G22" s="319">
        <f>N22/1000-E22-F22-H22-I22-J22-K22-L22</f>
        <v>-1165.2144300000002</v>
      </c>
      <c r="H22" s="330">
        <v>0</v>
      </c>
      <c r="I22" s="331">
        <f>4268.839</f>
        <v>4268.8389999999999</v>
      </c>
      <c r="J22" s="330">
        <f>112.338</f>
        <v>112.33799999999999</v>
      </c>
      <c r="K22" s="330">
        <v>0</v>
      </c>
      <c r="L22" s="330">
        <v>0</v>
      </c>
      <c r="M22" s="327">
        <f>SUM(E22:L22)</f>
        <v>3375.6125699999998</v>
      </c>
      <c r="N22" s="317">
        <f>'ES CT Electric Table A  '!G25</f>
        <v>3375612.57</v>
      </c>
      <c r="O22" s="318">
        <f>N22/1000-M22</f>
        <v>0</v>
      </c>
    </row>
    <row r="23" spans="2:35" ht="18.75" thickBot="1" x14ac:dyDescent="0.3">
      <c r="B23" s="314"/>
      <c r="C23" s="314"/>
      <c r="D23" s="342" t="s">
        <v>299</v>
      </c>
      <c r="E23" s="343">
        <f t="shared" ref="E23:M23" si="5">SUM(E21:E22)</f>
        <v>319.3</v>
      </c>
      <c r="F23" s="343">
        <f t="shared" si="5"/>
        <v>0</v>
      </c>
      <c r="G23" s="343">
        <f t="shared" si="5"/>
        <v>-1850.1897299999996</v>
      </c>
      <c r="H23" s="343">
        <f t="shared" si="5"/>
        <v>0</v>
      </c>
      <c r="I23" s="343">
        <f t="shared" si="5"/>
        <v>7104.8379999999997</v>
      </c>
      <c r="J23" s="343">
        <f t="shared" si="5"/>
        <v>312.13099999999997</v>
      </c>
      <c r="K23" s="343">
        <f t="shared" si="5"/>
        <v>0</v>
      </c>
      <c r="L23" s="343">
        <f t="shared" si="5"/>
        <v>0</v>
      </c>
      <c r="M23" s="343">
        <f t="shared" si="5"/>
        <v>5886.0792700000002</v>
      </c>
      <c r="N23" s="317">
        <f>'ES CT Electric Table A  '!G26</f>
        <v>5886079.2699999996</v>
      </c>
      <c r="O23" s="313">
        <f>N23/1000-M23</f>
        <v>0</v>
      </c>
    </row>
    <row r="24" spans="2:35" ht="18.75" thickBot="1" x14ac:dyDescent="0.3">
      <c r="B24" s="314"/>
      <c r="C24" s="314"/>
      <c r="D24" s="938" t="s">
        <v>261</v>
      </c>
      <c r="E24" s="938"/>
      <c r="F24" s="938"/>
      <c r="G24" s="938"/>
      <c r="H24" s="938"/>
      <c r="I24" s="938"/>
      <c r="J24" s="938"/>
      <c r="K24" s="938"/>
      <c r="L24" s="938"/>
      <c r="M24" s="938"/>
      <c r="N24" s="317"/>
      <c r="O24" s="313"/>
      <c r="AI24" s="126" t="s">
        <v>266</v>
      </c>
    </row>
    <row r="25" spans="2:35" ht="18.75" thickBot="1" x14ac:dyDescent="0.3">
      <c r="B25" s="314" t="s">
        <v>196</v>
      </c>
      <c r="C25" s="314"/>
      <c r="D25" s="563" t="s">
        <v>395</v>
      </c>
      <c r="E25" s="325">
        <v>51.545000000000002</v>
      </c>
      <c r="F25" s="325">
        <v>0</v>
      </c>
      <c r="G25" s="344">
        <f>N25/1000-E25-F25-H25-I25-J25-K25-L25</f>
        <v>193.27299999999997</v>
      </c>
      <c r="H25" s="325">
        <v>0</v>
      </c>
      <c r="I25" s="325">
        <v>0</v>
      </c>
      <c r="J25" s="325">
        <v>38.436999999999998</v>
      </c>
      <c r="K25" s="325">
        <v>1</v>
      </c>
      <c r="L25" s="325">
        <v>3</v>
      </c>
      <c r="M25" s="338">
        <f>SUM(E25:L25)</f>
        <v>287.255</v>
      </c>
      <c r="N25" s="317">
        <f>'ES CT Electric Table A  '!G28</f>
        <v>287255</v>
      </c>
      <c r="O25" s="326">
        <f>N25/1000-M25</f>
        <v>0</v>
      </c>
    </row>
    <row r="26" spans="2:35" ht="18.75" thickBot="1" x14ac:dyDescent="0.3">
      <c r="B26" s="314" t="s">
        <v>18</v>
      </c>
      <c r="C26" s="314"/>
      <c r="D26" s="242" t="s">
        <v>392</v>
      </c>
      <c r="E26" s="325">
        <v>51.778208480000004</v>
      </c>
      <c r="F26" s="325">
        <v>0</v>
      </c>
      <c r="G26" s="344">
        <f>N26/1000-E26-F26-H26-I26-J26-K26-L26</f>
        <v>271.30379152</v>
      </c>
      <c r="H26" s="325">
        <v>0</v>
      </c>
      <c r="I26" s="325">
        <v>0</v>
      </c>
      <c r="J26" s="325">
        <v>0</v>
      </c>
      <c r="K26" s="325">
        <v>0</v>
      </c>
      <c r="L26" s="325">
        <v>0</v>
      </c>
      <c r="M26" s="338">
        <f>SUM(E26:L26)</f>
        <v>323.08199999999999</v>
      </c>
      <c r="N26" s="317">
        <f>'ES CT Electric Table A  '!G29</f>
        <v>323082</v>
      </c>
      <c r="O26" s="326">
        <f>N26/1000-M26</f>
        <v>0</v>
      </c>
    </row>
    <row r="27" spans="2:35" ht="18.75" thickBot="1" x14ac:dyDescent="0.3">
      <c r="B27" s="314" t="s">
        <v>18</v>
      </c>
      <c r="C27" s="314"/>
      <c r="D27" s="555" t="s">
        <v>393</v>
      </c>
      <c r="E27" s="325">
        <v>72.604700000000008</v>
      </c>
      <c r="F27" s="325">
        <v>0</v>
      </c>
      <c r="G27" s="344">
        <f>N27/1000-E27-F27-H27-I27-J27-K27-L27</f>
        <v>335.99329999999998</v>
      </c>
      <c r="H27" s="325">
        <v>0</v>
      </c>
      <c r="I27" s="325">
        <v>0</v>
      </c>
      <c r="J27" s="325">
        <f>35+100</f>
        <v>135</v>
      </c>
      <c r="K27" s="325">
        <v>0</v>
      </c>
      <c r="L27" s="325">
        <v>19</v>
      </c>
      <c r="M27" s="338">
        <f>SUM(E27:L27)</f>
        <v>562.59799999999996</v>
      </c>
      <c r="N27" s="317">
        <f>'ES CT Electric Table A  '!G30</f>
        <v>562598</v>
      </c>
      <c r="O27" s="326">
        <f>N27/1000-M27</f>
        <v>0</v>
      </c>
    </row>
    <row r="28" spans="2:35" ht="18.75" thickBot="1" x14ac:dyDescent="0.3">
      <c r="B28" s="314" t="s">
        <v>196</v>
      </c>
      <c r="C28" s="314"/>
      <c r="D28" s="555" t="s">
        <v>394</v>
      </c>
      <c r="E28" s="325">
        <v>301.0635617648</v>
      </c>
      <c r="F28" s="325">
        <v>0</v>
      </c>
      <c r="G28" s="344">
        <f>N28/1000-E28-F28-H28-I28-J28-K28-L28</f>
        <v>485.23726823519996</v>
      </c>
      <c r="H28" s="325">
        <v>85</v>
      </c>
      <c r="I28" s="325">
        <v>0</v>
      </c>
      <c r="J28" s="325">
        <v>0</v>
      </c>
      <c r="K28" s="325">
        <v>0</v>
      </c>
      <c r="L28" s="325">
        <v>5</v>
      </c>
      <c r="M28" s="338">
        <f>SUM(E28:L28)</f>
        <v>876.30082999999991</v>
      </c>
      <c r="N28" s="317">
        <f>'ES CT Electric Table A  '!G31</f>
        <v>876300.83</v>
      </c>
      <c r="O28" s="318">
        <f>N28/1000-M28</f>
        <v>0</v>
      </c>
    </row>
    <row r="29" spans="2:35" ht="18.75" thickBot="1" x14ac:dyDescent="0.3">
      <c r="B29" s="314"/>
      <c r="C29" s="314"/>
      <c r="D29" s="340" t="s">
        <v>297</v>
      </c>
      <c r="E29" s="343">
        <f t="shared" ref="E29:M29" si="6">SUM(E25:E28)</f>
        <v>476.99147024479998</v>
      </c>
      <c r="F29" s="343">
        <f t="shared" si="6"/>
        <v>0</v>
      </c>
      <c r="G29" s="343">
        <f t="shared" si="6"/>
        <v>1285.8073597552</v>
      </c>
      <c r="H29" s="343">
        <f t="shared" si="6"/>
        <v>85</v>
      </c>
      <c r="I29" s="343">
        <f t="shared" si="6"/>
        <v>0</v>
      </c>
      <c r="J29" s="343">
        <f t="shared" si="6"/>
        <v>173.43700000000001</v>
      </c>
      <c r="K29" s="343">
        <f t="shared" si="6"/>
        <v>1</v>
      </c>
      <c r="L29" s="343">
        <f t="shared" si="6"/>
        <v>27</v>
      </c>
      <c r="M29" s="343">
        <f t="shared" si="6"/>
        <v>2049.2358299999996</v>
      </c>
      <c r="N29" s="317">
        <f>'ES CT Electric Table A  '!G32</f>
        <v>2049235.83</v>
      </c>
      <c r="O29" s="313">
        <f>N29/1000-M29</f>
        <v>0</v>
      </c>
    </row>
    <row r="30" spans="2:35" ht="18.75" thickBot="1" x14ac:dyDescent="0.3">
      <c r="B30" s="312"/>
      <c r="C30" s="312"/>
      <c r="D30" s="935" t="s">
        <v>40</v>
      </c>
      <c r="E30" s="935"/>
      <c r="F30" s="935"/>
      <c r="G30" s="935"/>
      <c r="H30" s="935"/>
      <c r="I30" s="935"/>
      <c r="J30" s="935"/>
      <c r="K30" s="935"/>
      <c r="L30" s="935"/>
      <c r="M30" s="935"/>
      <c r="N30" s="317"/>
      <c r="O30" s="313"/>
    </row>
    <row r="31" spans="2:35" ht="36.75" thickBot="1" x14ac:dyDescent="0.3">
      <c r="B31" s="314" t="s">
        <v>29</v>
      </c>
      <c r="C31" s="314"/>
      <c r="D31" s="356" t="s">
        <v>303</v>
      </c>
      <c r="E31" s="325">
        <v>0</v>
      </c>
      <c r="F31" s="325">
        <v>0</v>
      </c>
      <c r="G31" s="344">
        <f>N31/1000-E31-F31-H31-I31-J31-K31-L31</f>
        <v>899.98577</v>
      </c>
      <c r="H31" s="325">
        <v>0</v>
      </c>
      <c r="I31" s="325">
        <v>0</v>
      </c>
      <c r="J31" s="325">
        <v>0</v>
      </c>
      <c r="K31" s="325">
        <v>0</v>
      </c>
      <c r="L31" s="346">
        <v>0</v>
      </c>
      <c r="M31" s="338">
        <f>SUM(E31:L31)</f>
        <v>899.98577</v>
      </c>
      <c r="N31" s="317">
        <f>'ES CT Electric Table A  '!G34</f>
        <v>899985.77</v>
      </c>
      <c r="O31" s="318">
        <f>N31/1000-M31</f>
        <v>0</v>
      </c>
    </row>
    <row r="32" spans="2:35" ht="18.75" thickBot="1" x14ac:dyDescent="0.3">
      <c r="B32" s="314" t="s">
        <v>30</v>
      </c>
      <c r="C32" s="314"/>
      <c r="D32" s="345" t="s">
        <v>189</v>
      </c>
      <c r="E32" s="325">
        <v>0</v>
      </c>
      <c r="F32" s="325">
        <v>0</v>
      </c>
      <c r="G32" s="344">
        <f>0</f>
        <v>0</v>
      </c>
      <c r="H32" s="325">
        <v>0</v>
      </c>
      <c r="I32" s="325">
        <v>0</v>
      </c>
      <c r="J32" s="325">
        <v>0</v>
      </c>
      <c r="K32" s="347">
        <v>0</v>
      </c>
      <c r="L32" s="346">
        <f>N32/1000-E32-F32-G32-H32-I32-J32-K32</f>
        <v>812.01374999999996</v>
      </c>
      <c r="M32" s="338">
        <f>SUM(E32:L32)</f>
        <v>812.01374999999996</v>
      </c>
      <c r="N32" s="317">
        <f>'ES CT Electric Table A  '!G35</f>
        <v>812013.75</v>
      </c>
      <c r="O32" s="318">
        <f>N32/1000-M32</f>
        <v>0</v>
      </c>
    </row>
    <row r="33" spans="1:15" ht="20.25" customHeight="1" thickBot="1" x14ac:dyDescent="0.3">
      <c r="B33" s="314" t="s">
        <v>31</v>
      </c>
      <c r="C33" s="314"/>
      <c r="D33" s="335" t="s">
        <v>21</v>
      </c>
      <c r="E33" s="325">
        <v>65.843956467840002</v>
      </c>
      <c r="F33" s="325">
        <v>2</v>
      </c>
      <c r="G33" s="344">
        <f>N33/1000-E33-F33-H33-I33-J33-K33-L33</f>
        <v>-22.705956467840004</v>
      </c>
      <c r="H33" s="325">
        <v>1.6950000000000001</v>
      </c>
      <c r="I33" s="325">
        <v>0</v>
      </c>
      <c r="J33" s="325">
        <v>0</v>
      </c>
      <c r="K33" s="347">
        <v>0</v>
      </c>
      <c r="L33" s="325">
        <v>5</v>
      </c>
      <c r="M33" s="338">
        <f>SUM(E33:L33)</f>
        <v>51.832999999999998</v>
      </c>
      <c r="N33" s="317">
        <f>'ES CT Electric Table A  '!G36</f>
        <v>51833</v>
      </c>
      <c r="O33" s="318">
        <f>N33/1000-M33</f>
        <v>0</v>
      </c>
    </row>
    <row r="34" spans="1:15" ht="18.75" thickBot="1" x14ac:dyDescent="0.3">
      <c r="B34" s="314"/>
      <c r="C34" s="314"/>
      <c r="D34" s="340" t="s">
        <v>298</v>
      </c>
      <c r="E34" s="343">
        <f t="shared" ref="E34:L34" si="7">SUM(E31:E33)</f>
        <v>65.843956467840002</v>
      </c>
      <c r="F34" s="343">
        <f t="shared" si="7"/>
        <v>2</v>
      </c>
      <c r="G34" s="343">
        <f t="shared" si="7"/>
        <v>877.27981353216001</v>
      </c>
      <c r="H34" s="343">
        <f t="shared" si="7"/>
        <v>1.6950000000000001</v>
      </c>
      <c r="I34" s="343">
        <f t="shared" si="7"/>
        <v>0</v>
      </c>
      <c r="J34" s="343">
        <f t="shared" si="7"/>
        <v>0</v>
      </c>
      <c r="K34" s="343">
        <f t="shared" si="7"/>
        <v>0</v>
      </c>
      <c r="L34" s="343">
        <f t="shared" si="7"/>
        <v>817.01374999999996</v>
      </c>
      <c r="M34" s="343">
        <f>SUM(E34:L34)</f>
        <v>1763.8325199999999</v>
      </c>
      <c r="N34" s="317">
        <f>'ES CT Electric Table A  '!G37</f>
        <v>1763832.52</v>
      </c>
      <c r="O34" s="313">
        <f>N34/1000-M34</f>
        <v>0</v>
      </c>
    </row>
    <row r="35" spans="1:15" ht="27" customHeight="1" thickBot="1" x14ac:dyDescent="0.3">
      <c r="B35" s="314"/>
      <c r="C35" s="314"/>
      <c r="D35" s="936" t="s">
        <v>22</v>
      </c>
      <c r="E35" s="936"/>
      <c r="F35" s="936"/>
      <c r="G35" s="936"/>
      <c r="H35" s="936"/>
      <c r="I35" s="936"/>
      <c r="J35" s="936"/>
      <c r="K35" s="936"/>
      <c r="L35" s="936"/>
      <c r="M35" s="936"/>
      <c r="N35" s="317"/>
      <c r="O35" s="313"/>
    </row>
    <row r="36" spans="1:15" ht="20.25" customHeight="1" thickBot="1" x14ac:dyDescent="0.3">
      <c r="B36" s="314" t="s">
        <v>31</v>
      </c>
      <c r="C36" s="314"/>
      <c r="D36" s="265" t="s">
        <v>7</v>
      </c>
      <c r="E36" s="348">
        <f>816.377994695973</f>
        <v>816.37799469597303</v>
      </c>
      <c r="F36" s="348">
        <v>4</v>
      </c>
      <c r="G36" s="319">
        <f>N36/1000-E36-F36-H36-I36-J36-K36-L36</f>
        <v>-49.21199469597304</v>
      </c>
      <c r="H36" s="325">
        <v>22.219000000000001</v>
      </c>
      <c r="I36" s="349">
        <v>0</v>
      </c>
      <c r="J36" s="349">
        <v>0</v>
      </c>
      <c r="K36" s="325">
        <v>20</v>
      </c>
      <c r="L36" s="346">
        <v>0</v>
      </c>
      <c r="M36" s="346">
        <f t="shared" ref="M36:M43" si="8">SUM(E36:L36)</f>
        <v>813.38499999999999</v>
      </c>
      <c r="N36" s="317">
        <f>'ES CT Electric Table A  '!G39</f>
        <v>813385</v>
      </c>
      <c r="O36" s="318">
        <f t="shared" ref="O36:O45" si="9">N36/1000-M36</f>
        <v>0</v>
      </c>
    </row>
    <row r="37" spans="1:15" ht="20.25" customHeight="1" thickBot="1" x14ac:dyDescent="0.3">
      <c r="B37" s="314" t="s">
        <v>18</v>
      </c>
      <c r="C37" s="314"/>
      <c r="D37" s="265" t="s">
        <v>134</v>
      </c>
      <c r="E37" s="348">
        <v>0</v>
      </c>
      <c r="F37" s="325">
        <v>0</v>
      </c>
      <c r="G37" s="325">
        <v>0</v>
      </c>
      <c r="H37" s="325">
        <v>0</v>
      </c>
      <c r="I37" s="349">
        <v>0</v>
      </c>
      <c r="J37" s="344">
        <f>N37/1000-E37-F37-H37-I37-K37-L37-G37</f>
        <v>426.19272999999998</v>
      </c>
      <c r="K37" s="325">
        <v>1</v>
      </c>
      <c r="L37" s="346">
        <v>1</v>
      </c>
      <c r="M37" s="346">
        <f t="shared" si="8"/>
        <v>428.19272999999998</v>
      </c>
      <c r="N37" s="317">
        <f>'ES CT Electric Table A  '!G40</f>
        <v>428192.73</v>
      </c>
      <c r="O37" s="318">
        <f t="shared" si="9"/>
        <v>0</v>
      </c>
    </row>
    <row r="38" spans="1:15" ht="20.25" customHeight="1" thickBot="1" x14ac:dyDescent="0.3">
      <c r="B38" s="314" t="s">
        <v>31</v>
      </c>
      <c r="C38" s="314"/>
      <c r="D38" s="265" t="s">
        <v>193</v>
      </c>
      <c r="E38" s="325">
        <v>649.30067000000008</v>
      </c>
      <c r="F38" s="325">
        <v>1</v>
      </c>
      <c r="G38" s="325">
        <f>0</f>
        <v>0</v>
      </c>
      <c r="H38" s="325">
        <f>N38/1000-E38-F38-K38-L38-G38</f>
        <v>61.871329999999944</v>
      </c>
      <c r="I38" s="325">
        <v>0</v>
      </c>
      <c r="J38" s="325">
        <v>0</v>
      </c>
      <c r="K38" s="325">
        <v>10</v>
      </c>
      <c r="L38" s="325">
        <v>12</v>
      </c>
      <c r="M38" s="346">
        <f t="shared" si="8"/>
        <v>734.17200000000003</v>
      </c>
      <c r="N38" s="317">
        <f>'ES CT Electric Table A  '!G41</f>
        <v>734172</v>
      </c>
      <c r="O38" s="318">
        <f t="shared" si="9"/>
        <v>0</v>
      </c>
    </row>
    <row r="39" spans="1:15" ht="20.25" customHeight="1" thickBot="1" x14ac:dyDescent="0.3">
      <c r="B39" s="314" t="s">
        <v>31</v>
      </c>
      <c r="C39" s="314"/>
      <c r="D39" s="265" t="s">
        <v>222</v>
      </c>
      <c r="E39" s="325">
        <v>0</v>
      </c>
      <c r="F39" s="325">
        <v>1</v>
      </c>
      <c r="G39" s="325">
        <f>N39/1000-E39-F39-H39-I39-J39-K39-L39</f>
        <v>1917</v>
      </c>
      <c r="H39" s="325">
        <v>0</v>
      </c>
      <c r="I39" s="325">
        <v>0</v>
      </c>
      <c r="J39" s="325">
        <v>0</v>
      </c>
      <c r="K39" s="325">
        <v>1</v>
      </c>
      <c r="L39" s="325">
        <v>1</v>
      </c>
      <c r="M39" s="346">
        <f t="shared" si="8"/>
        <v>1920</v>
      </c>
      <c r="N39" s="317">
        <f>'ES CT Electric Table A  '!G42</f>
        <v>1920000</v>
      </c>
      <c r="O39" s="318">
        <f t="shared" si="9"/>
        <v>0</v>
      </c>
    </row>
    <row r="40" spans="1:15" ht="20.25" customHeight="1" thickBot="1" x14ac:dyDescent="0.3">
      <c r="B40" s="314" t="s">
        <v>31</v>
      </c>
      <c r="C40" s="314"/>
      <c r="D40" s="265" t="s">
        <v>219</v>
      </c>
      <c r="E40" s="325">
        <v>0</v>
      </c>
      <c r="F40" s="325">
        <v>0</v>
      </c>
      <c r="G40" s="325">
        <f>N40/1000-E40-F40-H40-I40-J40-K40-L40</f>
        <v>256.93299999999999</v>
      </c>
      <c r="H40" s="325">
        <v>0</v>
      </c>
      <c r="I40" s="325">
        <v>0</v>
      </c>
      <c r="J40" s="325">
        <v>0</v>
      </c>
      <c r="K40" s="325">
        <v>0</v>
      </c>
      <c r="L40" s="325">
        <v>0</v>
      </c>
      <c r="M40" s="346">
        <f t="shared" si="8"/>
        <v>256.93299999999999</v>
      </c>
      <c r="N40" s="317">
        <f>'ES CT Electric Table A  '!G43</f>
        <v>256933</v>
      </c>
      <c r="O40" s="318">
        <f t="shared" si="9"/>
        <v>0</v>
      </c>
    </row>
    <row r="41" spans="1:15" ht="20.25" customHeight="1" thickBot="1" x14ac:dyDescent="0.3">
      <c r="B41" s="314" t="s">
        <v>31</v>
      </c>
      <c r="C41" s="314"/>
      <c r="D41" s="265" t="s">
        <v>8</v>
      </c>
      <c r="E41" s="349">
        <v>408.33320000000003</v>
      </c>
      <c r="F41" s="349">
        <v>0</v>
      </c>
      <c r="G41" s="325">
        <f>N41/1000-E41-F41-H41-I41-J41-K41-L41</f>
        <v>1003.7538</v>
      </c>
      <c r="H41" s="349">
        <v>144.614</v>
      </c>
      <c r="I41" s="349">
        <v>0</v>
      </c>
      <c r="J41" s="349">
        <v>0</v>
      </c>
      <c r="K41" s="349">
        <v>0</v>
      </c>
      <c r="L41" s="349">
        <v>50</v>
      </c>
      <c r="M41" s="346">
        <f t="shared" si="8"/>
        <v>1606.701</v>
      </c>
      <c r="N41" s="317">
        <f>'ES CT Electric Table A  '!G44</f>
        <v>1606701</v>
      </c>
      <c r="O41" s="318">
        <f t="shared" si="9"/>
        <v>0</v>
      </c>
    </row>
    <row r="42" spans="1:15" ht="20.25" customHeight="1" thickBot="1" x14ac:dyDescent="0.3">
      <c r="B42" s="314" t="s">
        <v>31</v>
      </c>
      <c r="C42" s="314"/>
      <c r="D42" s="265" t="s">
        <v>220</v>
      </c>
      <c r="E42" s="349">
        <v>0</v>
      </c>
      <c r="F42" s="349">
        <v>0</v>
      </c>
      <c r="G42" s="325">
        <f>N42/1000-E42-F42-H42-I42-J42-K42-L42</f>
        <v>394.346</v>
      </c>
      <c r="H42" s="349">
        <v>0</v>
      </c>
      <c r="I42" s="349">
        <v>0</v>
      </c>
      <c r="J42" s="349">
        <v>0</v>
      </c>
      <c r="K42" s="325">
        <v>0</v>
      </c>
      <c r="L42" s="346">
        <v>0</v>
      </c>
      <c r="M42" s="346">
        <f t="shared" si="8"/>
        <v>394.346</v>
      </c>
      <c r="N42" s="317">
        <f>'ES CT Electric Table A  '!G45</f>
        <v>394346</v>
      </c>
      <c r="O42" s="318">
        <f t="shared" si="9"/>
        <v>0</v>
      </c>
    </row>
    <row r="43" spans="1:15" ht="20.25" customHeight="1" thickBot="1" x14ac:dyDescent="0.3">
      <c r="B43" s="314" t="s">
        <v>31</v>
      </c>
      <c r="C43" s="314"/>
      <c r="D43" s="265" t="s">
        <v>223</v>
      </c>
      <c r="E43" s="349">
        <v>0</v>
      </c>
      <c r="F43" s="349">
        <v>0</v>
      </c>
      <c r="G43" s="325">
        <f>N43/1000-E43-F43-H43-I43-J43-K43-L43</f>
        <v>60</v>
      </c>
      <c r="H43" s="349">
        <v>0</v>
      </c>
      <c r="I43" s="349">
        <v>0</v>
      </c>
      <c r="J43" s="349">
        <v>0</v>
      </c>
      <c r="K43" s="325">
        <v>0</v>
      </c>
      <c r="L43" s="346">
        <v>0</v>
      </c>
      <c r="M43" s="346">
        <f t="shared" si="8"/>
        <v>60</v>
      </c>
      <c r="N43" s="317">
        <f>'ES CT Electric Table A  '!G46</f>
        <v>60000</v>
      </c>
      <c r="O43" s="318">
        <f t="shared" si="9"/>
        <v>0</v>
      </c>
    </row>
    <row r="44" spans="1:15" ht="20.25" customHeight="1" thickBot="1" x14ac:dyDescent="0.3">
      <c r="B44" s="314" t="s">
        <v>31</v>
      </c>
      <c r="C44" s="314"/>
      <c r="D44" s="238" t="s">
        <v>221</v>
      </c>
      <c r="E44" s="325">
        <v>0</v>
      </c>
      <c r="F44" s="325">
        <v>0</v>
      </c>
      <c r="G44" s="325">
        <v>0</v>
      </c>
      <c r="H44" s="325">
        <v>0</v>
      </c>
      <c r="I44" s="325">
        <v>0</v>
      </c>
      <c r="J44" s="325">
        <v>0</v>
      </c>
      <c r="K44" s="344">
        <f>'ES CT Electric Table A  '!G47/1000</f>
        <v>8681.482</v>
      </c>
      <c r="L44" s="346">
        <v>0</v>
      </c>
      <c r="M44" s="346">
        <f>SUM(E44:L44)</f>
        <v>8681.482</v>
      </c>
      <c r="N44" s="317">
        <f>'ES CT Electric Table A  '!G47</f>
        <v>8681482</v>
      </c>
      <c r="O44" s="318">
        <f t="shared" si="9"/>
        <v>0</v>
      </c>
    </row>
    <row r="45" spans="1:15" ht="23.25" customHeight="1" thickBot="1" x14ac:dyDescent="0.3">
      <c r="B45" s="314"/>
      <c r="C45" s="314"/>
      <c r="D45" s="340" t="s">
        <v>300</v>
      </c>
      <c r="E45" s="343">
        <f t="shared" ref="E45:M45" si="10">SUM(E36:E44)</f>
        <v>1874.0118646959731</v>
      </c>
      <c r="F45" s="343">
        <f t="shared" si="10"/>
        <v>6</v>
      </c>
      <c r="G45" s="343">
        <f t="shared" si="10"/>
        <v>3582.8208053040271</v>
      </c>
      <c r="H45" s="343">
        <f t="shared" si="10"/>
        <v>228.70432999999994</v>
      </c>
      <c r="I45" s="343">
        <f t="shared" si="10"/>
        <v>0</v>
      </c>
      <c r="J45" s="343">
        <f t="shared" si="10"/>
        <v>426.19272999999998</v>
      </c>
      <c r="K45" s="343">
        <f t="shared" si="10"/>
        <v>8713.482</v>
      </c>
      <c r="L45" s="343">
        <f t="shared" si="10"/>
        <v>64</v>
      </c>
      <c r="M45" s="343">
        <f t="shared" si="10"/>
        <v>14895.211730000001</v>
      </c>
      <c r="N45" s="317">
        <f>'ES CT Electric Table A  '!G48</f>
        <v>14895211.73</v>
      </c>
      <c r="O45" s="318">
        <f t="shared" si="9"/>
        <v>0</v>
      </c>
    </row>
    <row r="46" spans="1:15" ht="19.5" customHeight="1" thickBot="1" x14ac:dyDescent="0.3">
      <c r="B46" s="314"/>
      <c r="C46" s="314"/>
      <c r="D46" s="340" t="s">
        <v>100</v>
      </c>
      <c r="E46" s="350"/>
      <c r="F46" s="350"/>
      <c r="G46" s="350"/>
      <c r="H46" s="350"/>
      <c r="I46" s="350"/>
      <c r="J46" s="350"/>
      <c r="K46" s="350"/>
      <c r="L46" s="351"/>
      <c r="M46" s="350"/>
      <c r="N46" s="317">
        <f>'ES CT Electric Table A  '!G49</f>
        <v>0</v>
      </c>
      <c r="O46" s="318"/>
    </row>
    <row r="47" spans="1:15" ht="18" customHeight="1" thickBot="1" x14ac:dyDescent="0.3">
      <c r="A47" s="133"/>
      <c r="B47" s="314"/>
      <c r="C47" s="314"/>
      <c r="D47" s="352" t="s">
        <v>25</v>
      </c>
      <c r="E47" s="353">
        <f>E13+E25*0.8+E27*0.5+E26*0.5+E28*0.8+E31+E37*0.8+E21</f>
        <v>4100.632424245804</v>
      </c>
      <c r="F47" s="353">
        <f t="shared" ref="F47:L47" si="11">F13+F25*0.8+F27*0.5+F26*0.5+F28*0.8+F31+F37*0.8+F21</f>
        <v>12</v>
      </c>
      <c r="G47" s="353">
        <f t="shared" si="11"/>
        <v>4157.1992303481611</v>
      </c>
      <c r="H47" s="353">
        <f t="shared" si="11"/>
        <v>286.27800000000002</v>
      </c>
      <c r="I47" s="353">
        <f t="shared" si="11"/>
        <v>70685.639151482348</v>
      </c>
      <c r="J47" s="353">
        <f t="shared" si="11"/>
        <v>3164.2967840000006</v>
      </c>
      <c r="K47" s="353">
        <f t="shared" si="11"/>
        <v>122.5737279236798</v>
      </c>
      <c r="L47" s="353">
        <f t="shared" si="11"/>
        <v>106.7</v>
      </c>
      <c r="M47" s="353">
        <f t="shared" ref="M47" si="12">M13+M25*0.8+M27*0.5+M26*0.5+M28*0.8+M31+M37*0.8+M21</f>
        <v>82635.319317999994</v>
      </c>
      <c r="N47" s="317">
        <f>'ES CT Electric Table A  '!G50</f>
        <v>82635319.318000004</v>
      </c>
      <c r="O47" s="318">
        <f>N47/1000-M47</f>
        <v>0</v>
      </c>
    </row>
    <row r="48" spans="1:15" ht="18" customHeight="1" thickBot="1" x14ac:dyDescent="0.3">
      <c r="B48" s="312"/>
      <c r="C48" s="312"/>
      <c r="D48" s="352" t="s">
        <v>26</v>
      </c>
      <c r="E48" s="354">
        <f>E19+E25*0.2+E26*0.5+E27*0.5+E28*0.2+E32+E22+E37*0.2</f>
        <v>6832.9892122577903</v>
      </c>
      <c r="F48" s="354">
        <f t="shared" ref="F48:L48" si="13">F19+F25*0.2+F26*0.5+F27*0.5+F28*0.2+F32+F22+F37*0.2</f>
        <v>16</v>
      </c>
      <c r="G48" s="354">
        <f t="shared" si="13"/>
        <v>2973.0381694070393</v>
      </c>
      <c r="H48" s="354">
        <f t="shared" si="13"/>
        <v>807.52848000000006</v>
      </c>
      <c r="I48" s="354">
        <f t="shared" si="13"/>
        <v>53038.947474335167</v>
      </c>
      <c r="J48" s="354">
        <f t="shared" si="13"/>
        <v>872.76394600000003</v>
      </c>
      <c r="K48" s="354">
        <f t="shared" si="13"/>
        <v>210.39999999999998</v>
      </c>
      <c r="L48" s="354">
        <f t="shared" si="13"/>
        <v>965.31375000000003</v>
      </c>
      <c r="M48" s="354">
        <f t="shared" ref="M48" si="14">M19+M25*0.2+M26*0.5+M27*0.5+M28*0.2+M32+M22+M37*0.2</f>
        <v>65716.981031999996</v>
      </c>
      <c r="N48" s="317">
        <f>'ES CT Electric Table A  '!G51</f>
        <v>65716981.031999998</v>
      </c>
      <c r="O48" s="318">
        <f>N48/1000-M48</f>
        <v>0</v>
      </c>
    </row>
    <row r="49" spans="2:15" ht="18.75" customHeight="1" thickBot="1" x14ac:dyDescent="0.3">
      <c r="B49" s="332"/>
      <c r="C49" s="332"/>
      <c r="D49" s="352" t="s">
        <v>125</v>
      </c>
      <c r="E49" s="354">
        <f>E33+E36+E38+E39+E40+E41+E42+E43+E44</f>
        <v>1939.8558211638133</v>
      </c>
      <c r="F49" s="354">
        <f t="shared" ref="F49:L49" si="15">F33+F36+F38+F39+F40+F41+F42+F43+F44</f>
        <v>8</v>
      </c>
      <c r="G49" s="354">
        <f t="shared" si="15"/>
        <v>3560.1148488361869</v>
      </c>
      <c r="H49" s="354">
        <f t="shared" si="15"/>
        <v>230.39932999999996</v>
      </c>
      <c r="I49" s="354">
        <f t="shared" si="15"/>
        <v>0</v>
      </c>
      <c r="J49" s="354">
        <f t="shared" si="15"/>
        <v>0</v>
      </c>
      <c r="K49" s="354">
        <f t="shared" si="15"/>
        <v>8712.482</v>
      </c>
      <c r="L49" s="354">
        <f t="shared" si="15"/>
        <v>68</v>
      </c>
      <c r="M49" s="354">
        <f t="shared" ref="M49" si="16">M33+M36+M38+M39+M40+M41+M42+M43+M44</f>
        <v>14518.851999999999</v>
      </c>
      <c r="N49" s="317">
        <f>'ES CT Electric Table A  '!G52</f>
        <v>14518852</v>
      </c>
      <c r="O49" s="318">
        <f>N49/1000-M49</f>
        <v>0</v>
      </c>
    </row>
    <row r="50" spans="2:15" ht="18.75" thickBot="1" x14ac:dyDescent="0.3">
      <c r="B50" s="314"/>
      <c r="C50" s="314"/>
      <c r="D50" s="340" t="s">
        <v>255</v>
      </c>
      <c r="E50" s="343">
        <f t="shared" ref="E50:L50" si="17">SUM(E47:E49)</f>
        <v>12873.477457667408</v>
      </c>
      <c r="F50" s="343">
        <f t="shared" si="17"/>
        <v>36</v>
      </c>
      <c r="G50" s="343">
        <f t="shared" si="17"/>
        <v>10690.352248591387</v>
      </c>
      <c r="H50" s="343">
        <f t="shared" si="17"/>
        <v>1324.2058100000002</v>
      </c>
      <c r="I50" s="343">
        <f t="shared" si="17"/>
        <v>123724.58662581752</v>
      </c>
      <c r="J50" s="343">
        <f t="shared" si="17"/>
        <v>4037.0607300000006</v>
      </c>
      <c r="K50" s="343">
        <f t="shared" si="17"/>
        <v>9045.4557279236797</v>
      </c>
      <c r="L50" s="343">
        <f t="shared" si="17"/>
        <v>1140.0137500000001</v>
      </c>
      <c r="M50" s="343">
        <f>SUM(M47:M49)</f>
        <v>162871.15234999999</v>
      </c>
      <c r="N50" s="317">
        <f>'ES CT Electric Table A  '!G53</f>
        <v>162871152.34999999</v>
      </c>
      <c r="O50" s="318">
        <f>N50/1000-M50</f>
        <v>0</v>
      </c>
    </row>
    <row r="51" spans="2:15" ht="20.25" x14ac:dyDescent="0.3">
      <c r="B51" s="135"/>
      <c r="C51" s="135"/>
      <c r="D51" s="136"/>
      <c r="E51" s="137" t="s">
        <v>13</v>
      </c>
      <c r="F51" s="138"/>
      <c r="G51" s="138" t="s">
        <v>13</v>
      </c>
      <c r="H51" s="132"/>
      <c r="I51" s="132"/>
      <c r="J51" s="132"/>
      <c r="K51" s="132"/>
      <c r="L51" s="132"/>
      <c r="M51" s="132"/>
    </row>
    <row r="52" spans="2:15" ht="20.25" hidden="1" x14ac:dyDescent="0.3">
      <c r="B52" s="135"/>
      <c r="C52" s="135"/>
      <c r="D52" s="139" t="s">
        <v>190</v>
      </c>
      <c r="E52" s="138"/>
      <c r="F52" s="138"/>
      <c r="G52" s="138"/>
      <c r="H52" s="132"/>
      <c r="I52" s="132"/>
      <c r="J52" s="132"/>
      <c r="K52" s="132"/>
      <c r="L52" s="132"/>
      <c r="M52" s="140"/>
      <c r="N52" s="133">
        <f>N13+N19+N29+N34+N23+N45</f>
        <v>162871152.35000002</v>
      </c>
    </row>
    <row r="53" spans="2:15" x14ac:dyDescent="0.2">
      <c r="B53" s="141"/>
      <c r="C53" s="141"/>
      <c r="D53" s="142"/>
    </row>
    <row r="54" spans="2:15" x14ac:dyDescent="0.2">
      <c r="B54" s="141"/>
      <c r="C54" s="141"/>
      <c r="D54" s="145"/>
    </row>
    <row r="55" spans="2:15" x14ac:dyDescent="0.2">
      <c r="B55" s="141"/>
      <c r="C55" s="141"/>
    </row>
    <row r="56" spans="2:15" x14ac:dyDescent="0.2">
      <c r="B56" s="141"/>
      <c r="C56" s="141"/>
      <c r="D56" s="134"/>
      <c r="F56" s="143"/>
      <c r="G56" s="143"/>
    </row>
    <row r="57" spans="2:15" x14ac:dyDescent="0.2">
      <c r="B57" s="141"/>
      <c r="C57" s="141"/>
      <c r="D57" s="134"/>
      <c r="F57" s="143"/>
      <c r="G57" s="143"/>
    </row>
    <row r="58" spans="2:15" ht="20.25" x14ac:dyDescent="0.3">
      <c r="B58" s="141"/>
      <c r="C58" s="141"/>
      <c r="D58" s="134"/>
      <c r="E58" s="177"/>
      <c r="F58" s="143"/>
      <c r="G58" s="143"/>
    </row>
    <row r="60" spans="2:15" x14ac:dyDescent="0.2">
      <c r="D60" s="134"/>
      <c r="O60" s="127" t="s">
        <v>13</v>
      </c>
    </row>
    <row r="61" spans="2:15" x14ac:dyDescent="0.2">
      <c r="D61" s="134"/>
    </row>
    <row r="62" spans="2:15" x14ac:dyDescent="0.2">
      <c r="D62" s="134"/>
    </row>
    <row r="63" spans="2:15" x14ac:dyDescent="0.2">
      <c r="D63" s="134"/>
    </row>
    <row r="64" spans="2:15" x14ac:dyDescent="0.2">
      <c r="D64" s="134"/>
    </row>
    <row r="65" spans="4:15" x14ac:dyDescent="0.2">
      <c r="D65" s="134"/>
      <c r="O65" s="127" t="s">
        <v>13</v>
      </c>
    </row>
    <row r="66" spans="4:15" x14ac:dyDescent="0.2">
      <c r="D66" s="134"/>
      <c r="O66" s="127" t="s">
        <v>13</v>
      </c>
    </row>
  </sheetData>
  <mergeCells count="8">
    <mergeCell ref="D20:M20"/>
    <mergeCell ref="D35:M35"/>
    <mergeCell ref="D2:M2"/>
    <mergeCell ref="D3:M3"/>
    <mergeCell ref="D6:M6"/>
    <mergeCell ref="D14:M14"/>
    <mergeCell ref="D24:M24"/>
    <mergeCell ref="D30:M30"/>
  </mergeCells>
  <printOptions horizontalCentered="1" verticalCentered="1"/>
  <pageMargins left="0.43" right="0.31" top="0.2" bottom="0.43" header="0.17" footer="0.18"/>
  <pageSetup scale="49" orientation="landscape"/>
  <headerFooter alignWithMargins="0">
    <oddFooter xml:space="preserve">&amp;C&amp;14
Totals may vary due to rounding&amp;12
</oddFooter>
  </headerFooter>
  <ignoredErrors>
    <ignoredError sqref="G32" formula="1"/>
  </ignoredError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pageSetUpPr fitToPage="1"/>
  </sheetPr>
  <dimension ref="B2:I48"/>
  <sheetViews>
    <sheetView showGridLines="0" topLeftCell="A16" zoomScale="75" zoomScaleNormal="75" workbookViewId="0">
      <selection activeCell="G38" sqref="G38"/>
    </sheetView>
  </sheetViews>
  <sheetFormatPr defaultRowHeight="12.75" x14ac:dyDescent="0.2"/>
  <cols>
    <col min="2" max="2" width="35.28515625" customWidth="1"/>
    <col min="3" max="3" width="11.42578125" customWidth="1"/>
    <col min="4" max="4" width="5.5703125" customWidth="1"/>
    <col min="5" max="5" width="17.42578125" customWidth="1"/>
    <col min="6" max="6" width="22.7109375" customWidth="1"/>
    <col min="7" max="7" width="19.140625" customWidth="1"/>
  </cols>
  <sheetData>
    <row r="2" spans="2:9" ht="23.25" x14ac:dyDescent="0.35">
      <c r="B2" s="869" t="s">
        <v>176</v>
      </c>
      <c r="C2" s="869"/>
      <c r="D2" s="869"/>
      <c r="E2" s="869"/>
      <c r="F2" s="869"/>
      <c r="G2" s="18"/>
    </row>
    <row r="3" spans="2:9" ht="23.25" x14ac:dyDescent="0.35">
      <c r="B3" s="869" t="s">
        <v>268</v>
      </c>
      <c r="C3" s="869"/>
      <c r="D3" s="869"/>
      <c r="E3" s="869"/>
      <c r="F3" s="869"/>
      <c r="G3" s="18"/>
    </row>
    <row r="4" spans="2:9" ht="23.25" x14ac:dyDescent="0.35">
      <c r="B4" s="869" t="s">
        <v>209</v>
      </c>
      <c r="C4" s="869"/>
      <c r="D4" s="869"/>
      <c r="E4" s="869"/>
      <c r="F4" s="869"/>
      <c r="G4" s="18"/>
    </row>
    <row r="5" spans="2:9" ht="23.25" x14ac:dyDescent="0.35">
      <c r="B5" s="869" t="s">
        <v>128</v>
      </c>
      <c r="C5" s="869"/>
      <c r="D5" s="869"/>
      <c r="E5" s="869"/>
      <c r="F5" s="869"/>
      <c r="G5" s="18"/>
    </row>
    <row r="16" spans="2:9" x14ac:dyDescent="0.2">
      <c r="I16" s="90"/>
    </row>
    <row r="34" spans="2:5" ht="36.75" customHeight="1" x14ac:dyDescent="0.25">
      <c r="B34" s="517" t="s">
        <v>36</v>
      </c>
      <c r="C34" s="942" t="s">
        <v>10</v>
      </c>
      <c r="D34" s="943"/>
      <c r="E34" s="515" t="s">
        <v>304</v>
      </c>
    </row>
    <row r="35" spans="2:5" ht="16.5" x14ac:dyDescent="0.25">
      <c r="B35" s="939"/>
      <c r="C35" s="940"/>
      <c r="D35" s="940"/>
      <c r="E35" s="941"/>
    </row>
    <row r="36" spans="2:5" ht="21" customHeight="1" x14ac:dyDescent="0.25">
      <c r="B36" s="518" t="s">
        <v>157</v>
      </c>
      <c r="C36" s="944">
        <f>'ES CT Electric Table C 2021'!E50</f>
        <v>12873.477457667408</v>
      </c>
      <c r="D36" s="945"/>
      <c r="E36" s="480">
        <f t="shared" ref="E36:E42" si="0">SUM(C36/$C$45)</f>
        <v>7.904086925106972E-2</v>
      </c>
    </row>
    <row r="37" spans="2:5" ht="18.75" customHeight="1" x14ac:dyDescent="0.25">
      <c r="B37" s="518" t="s">
        <v>37</v>
      </c>
      <c r="C37" s="944">
        <f>'ES CT Electric Table C 2021'!F50</f>
        <v>36</v>
      </c>
      <c r="D37" s="945"/>
      <c r="E37" s="480">
        <f t="shared" si="0"/>
        <v>2.2103361755946953E-4</v>
      </c>
    </row>
    <row r="38" spans="2:5" ht="21" customHeight="1" x14ac:dyDescent="0.25">
      <c r="B38" s="518" t="s">
        <v>14</v>
      </c>
      <c r="C38" s="944">
        <f>'ES CT Electric Table C 2021'!G50</f>
        <v>10690.352248591387</v>
      </c>
      <c r="D38" s="945"/>
      <c r="E38" s="480">
        <f t="shared" si="0"/>
        <v>6.5636867513643435E-2</v>
      </c>
    </row>
    <row r="39" spans="2:5" ht="20.25" customHeight="1" x14ac:dyDescent="0.25">
      <c r="B39" s="518" t="s">
        <v>61</v>
      </c>
      <c r="C39" s="944">
        <f>'ES CT Electric Table C 2021'!H50</f>
        <v>1324.2058100000002</v>
      </c>
      <c r="D39" s="945"/>
      <c r="E39" s="480">
        <f t="shared" si="0"/>
        <v>8.1303889049324334E-3</v>
      </c>
    </row>
    <row r="40" spans="2:5" ht="21" customHeight="1" x14ac:dyDescent="0.25">
      <c r="B40" s="518" t="s">
        <v>12</v>
      </c>
      <c r="C40" s="944">
        <f>'ES CT Electric Table C 2021'!I50</f>
        <v>123724.58662581752</v>
      </c>
      <c r="D40" s="945"/>
      <c r="E40" s="480">
        <f t="shared" si="0"/>
        <v>0.75964702674873352</v>
      </c>
    </row>
    <row r="41" spans="2:5" ht="24" customHeight="1" x14ac:dyDescent="0.25">
      <c r="B41" s="518" t="s">
        <v>33</v>
      </c>
      <c r="C41" s="944">
        <f>'ES CT Electric Table C 2021'!J50</f>
        <v>4037.0607300000006</v>
      </c>
      <c r="D41" s="945"/>
      <c r="E41" s="480">
        <f t="shared" si="0"/>
        <v>2.4786837151643693E-2</v>
      </c>
    </row>
    <row r="42" spans="2:5" ht="21" customHeight="1" x14ac:dyDescent="0.25">
      <c r="B42" s="518" t="s">
        <v>38</v>
      </c>
      <c r="C42" s="944">
        <f>'ES CT Electric Table C 2021'!K50</f>
        <v>9045.4557279236797</v>
      </c>
      <c r="D42" s="945"/>
      <c r="E42" s="480">
        <f t="shared" si="0"/>
        <v>5.5537494500472101E-2</v>
      </c>
    </row>
    <row r="43" spans="2:5" ht="18.75" x14ac:dyDescent="0.4">
      <c r="B43" s="518" t="s">
        <v>34</v>
      </c>
      <c r="C43" s="946">
        <f>'ES CT Electric Table C 2021'!L50</f>
        <v>1140.0137500000001</v>
      </c>
      <c r="D43" s="947"/>
      <c r="E43" s="516">
        <f>SUM(C43/$C$45)</f>
        <v>6.9994823119454647E-3</v>
      </c>
    </row>
    <row r="44" spans="2:5" ht="18.75" customHeight="1" x14ac:dyDescent="0.25">
      <c r="B44" s="865"/>
      <c r="C44" s="866"/>
      <c r="D44" s="866"/>
      <c r="E44" s="867"/>
    </row>
    <row r="45" spans="2:5" ht="16.5" x14ac:dyDescent="0.25">
      <c r="B45" s="512" t="s">
        <v>9</v>
      </c>
      <c r="C45" s="948">
        <f>SUM(C36:C43)</f>
        <v>162871.15235000002</v>
      </c>
      <c r="D45" s="949"/>
      <c r="E45" s="484">
        <f>SUM(E36:E43)</f>
        <v>0.99999999999999978</v>
      </c>
    </row>
    <row r="46" spans="2:5" ht="18" x14ac:dyDescent="0.25">
      <c r="B46" s="261"/>
      <c r="C46" s="261"/>
      <c r="D46" s="261"/>
      <c r="E46" s="261"/>
    </row>
    <row r="47" spans="2:5" ht="18" x14ac:dyDescent="0.25">
      <c r="B47" s="261"/>
      <c r="C47" s="261"/>
      <c r="D47" s="261"/>
      <c r="E47" s="261"/>
    </row>
    <row r="48" spans="2:5" ht="18" x14ac:dyDescent="0.25">
      <c r="B48" s="261"/>
      <c r="C48" s="261"/>
      <c r="D48" s="261"/>
      <c r="E48" s="261"/>
    </row>
  </sheetData>
  <mergeCells count="16">
    <mergeCell ref="C41:D41"/>
    <mergeCell ref="C42:D42"/>
    <mergeCell ref="C43:D43"/>
    <mergeCell ref="C45:D45"/>
    <mergeCell ref="B44:E44"/>
    <mergeCell ref="C36:D36"/>
    <mergeCell ref="C37:D37"/>
    <mergeCell ref="C38:D38"/>
    <mergeCell ref="C39:D39"/>
    <mergeCell ref="C40:D40"/>
    <mergeCell ref="B2:F2"/>
    <mergeCell ref="B3:F3"/>
    <mergeCell ref="B4:F4"/>
    <mergeCell ref="B5:F5"/>
    <mergeCell ref="B35:E35"/>
    <mergeCell ref="C34:D34"/>
  </mergeCells>
  <pageMargins left="0.75" right="0.75" top="1" bottom="1" header="0.5" footer="0.5"/>
  <pageSetup scale="90" orientation="portrait"/>
  <headerFooter alignWithMargins="0">
    <oddHeader xml:space="preserve">&amp;R
</oddHeader>
    <oddFooter xml:space="preserve">&amp;CTotals may vary due to rounding
</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9EDE2-C41A-4F38-A781-33FDC7D044F0}">
  <sheetPr>
    <tabColor theme="9" tint="0.39997558519241921"/>
    <pageSetUpPr fitToPage="1"/>
  </sheetPr>
  <dimension ref="B2:V51"/>
  <sheetViews>
    <sheetView showGridLines="0" topLeftCell="A19" zoomScale="80" zoomScaleNormal="80" workbookViewId="0">
      <selection activeCell="D44" sqref="D44"/>
    </sheetView>
  </sheetViews>
  <sheetFormatPr defaultColWidth="9.140625" defaultRowHeight="12.75" x14ac:dyDescent="0.2"/>
  <cols>
    <col min="1" max="1" width="9.140625" style="770"/>
    <col min="2" max="2" width="38.42578125" style="770" customWidth="1"/>
    <col min="3" max="3" width="3.5703125" style="770" customWidth="1"/>
    <col min="4" max="4" width="17" style="770" customWidth="1"/>
    <col min="5" max="5" width="16" style="770" customWidth="1"/>
    <col min="6" max="6" width="18" style="770" customWidth="1"/>
    <col min="7" max="7" width="18.140625" style="770" customWidth="1"/>
    <col min="8" max="8" width="16.5703125" style="770" customWidth="1"/>
    <col min="9" max="9" width="13.140625" style="770" customWidth="1"/>
    <col min="10" max="10" width="12.28515625" style="770" customWidth="1"/>
    <col min="11" max="13" width="9.140625" style="770"/>
    <col min="14" max="14" width="3.28515625" style="770" customWidth="1"/>
    <col min="15" max="15" width="4.5703125" style="770" customWidth="1"/>
    <col min="16" max="16" width="11.28515625" style="770" hidden="1" customWidth="1"/>
    <col min="17" max="19" width="9.140625" style="770" hidden="1" customWidth="1"/>
    <col min="20" max="20" width="16.42578125" style="770" hidden="1" customWidth="1"/>
    <col min="21" max="22" width="9.140625" style="770" hidden="1" customWidth="1"/>
    <col min="23" max="23" width="9.140625" style="770" customWidth="1"/>
    <col min="24" max="16384" width="9.140625" style="770"/>
  </cols>
  <sheetData>
    <row r="2" spans="2:19" ht="47.25" customHeight="1" x14ac:dyDescent="0.35">
      <c r="B2" s="868" t="s">
        <v>404</v>
      </c>
      <c r="C2" s="869"/>
      <c r="D2" s="869"/>
      <c r="E2" s="869"/>
      <c r="F2" s="869"/>
      <c r="G2" s="869"/>
      <c r="H2" s="869"/>
      <c r="I2" s="869"/>
      <c r="J2" s="869"/>
      <c r="K2" s="869"/>
      <c r="L2" s="869"/>
      <c r="M2" s="869"/>
      <c r="N2" s="869"/>
      <c r="O2" s="869"/>
    </row>
    <row r="3" spans="2:19" ht="23.25" x14ac:dyDescent="0.35">
      <c r="B3" s="869" t="s">
        <v>143</v>
      </c>
      <c r="C3" s="869"/>
      <c r="D3" s="869"/>
      <c r="E3" s="869"/>
      <c r="F3" s="869"/>
      <c r="G3" s="869"/>
      <c r="H3" s="869"/>
      <c r="I3" s="869"/>
      <c r="J3" s="869"/>
      <c r="K3" s="869"/>
      <c r="L3" s="869"/>
      <c r="M3" s="869"/>
      <c r="N3" s="869"/>
      <c r="O3" s="869"/>
    </row>
    <row r="4" spans="2:19" x14ac:dyDescent="0.2">
      <c r="P4" s="113" t="s">
        <v>172</v>
      </c>
      <c r="Q4" s="48"/>
      <c r="R4" s="17"/>
      <c r="S4" s="17"/>
    </row>
    <row r="5" spans="2:19" x14ac:dyDescent="0.2">
      <c r="P5" s="49"/>
      <c r="Q5" s="20"/>
      <c r="R5" s="13"/>
      <c r="S5" s="13"/>
    </row>
    <row r="6" spans="2:19" x14ac:dyDescent="0.2">
      <c r="P6" s="49" t="s">
        <v>54</v>
      </c>
      <c r="Q6" s="20">
        <v>0.2</v>
      </c>
      <c r="R6" s="13"/>
      <c r="S6" s="13"/>
    </row>
    <row r="7" spans="2:19" x14ac:dyDescent="0.2">
      <c r="P7" s="49" t="s">
        <v>6</v>
      </c>
      <c r="Q7" s="20">
        <v>0.8</v>
      </c>
      <c r="R7" s="13"/>
      <c r="S7" s="13"/>
    </row>
    <row r="8" spans="2:19" x14ac:dyDescent="0.2">
      <c r="P8" s="49"/>
      <c r="Q8" s="20"/>
      <c r="R8" s="13"/>
      <c r="S8" s="13"/>
    </row>
    <row r="9" spans="2:19" x14ac:dyDescent="0.2">
      <c r="P9" s="13"/>
      <c r="Q9" s="13"/>
      <c r="R9" s="13"/>
      <c r="S9" s="13"/>
    </row>
    <row r="10" spans="2:19" x14ac:dyDescent="0.2">
      <c r="P10" s="113" t="s">
        <v>173</v>
      </c>
      <c r="Q10" s="17"/>
      <c r="R10" s="17"/>
      <c r="S10" s="17"/>
    </row>
    <row r="11" spans="2:19" x14ac:dyDescent="0.2">
      <c r="P11" s="13"/>
      <c r="Q11" s="13"/>
      <c r="R11" s="13"/>
      <c r="S11" s="13"/>
    </row>
    <row r="12" spans="2:19" ht="18" x14ac:dyDescent="0.25">
      <c r="P12" s="13" t="s">
        <v>55</v>
      </c>
      <c r="Q12" s="562">
        <v>0.45400000000000001</v>
      </c>
      <c r="R12" s="13"/>
      <c r="S12" s="13"/>
    </row>
    <row r="13" spans="2:19" x14ac:dyDescent="0.2">
      <c r="P13" s="13" t="s">
        <v>56</v>
      </c>
      <c r="Q13" s="20">
        <v>0.54600000000000004</v>
      </c>
      <c r="R13" s="13"/>
      <c r="S13" s="13"/>
    </row>
    <row r="14" spans="2:19" x14ac:dyDescent="0.2">
      <c r="P14" s="13"/>
      <c r="Q14" s="13"/>
      <c r="R14" s="13"/>
      <c r="S14" s="13"/>
    </row>
    <row r="16" spans="2:19" x14ac:dyDescent="0.2">
      <c r="P16" s="114" t="s">
        <v>174</v>
      </c>
      <c r="Q16" s="50"/>
      <c r="R16" s="51"/>
      <c r="S16" s="51"/>
    </row>
    <row r="17" spans="2:21" x14ac:dyDescent="0.2">
      <c r="P17" s="49"/>
      <c r="Q17" s="20"/>
      <c r="R17" s="13"/>
      <c r="S17" s="13"/>
    </row>
    <row r="18" spans="2:21" x14ac:dyDescent="0.2">
      <c r="P18" s="49" t="s">
        <v>54</v>
      </c>
      <c r="Q18" s="20">
        <v>0.33700000000000002</v>
      </c>
      <c r="R18" s="13"/>
      <c r="S18" s="13"/>
    </row>
    <row r="19" spans="2:21" x14ac:dyDescent="0.2">
      <c r="P19" s="49" t="s">
        <v>6</v>
      </c>
      <c r="Q19" s="20">
        <v>0.66400000000000003</v>
      </c>
      <c r="R19" s="13"/>
      <c r="S19" s="13"/>
    </row>
    <row r="20" spans="2:21" x14ac:dyDescent="0.2">
      <c r="P20" s="49"/>
      <c r="Q20" s="20"/>
      <c r="R20" s="13"/>
      <c r="S20" s="13"/>
    </row>
    <row r="21" spans="2:21" x14ac:dyDescent="0.2">
      <c r="P21" s="13"/>
      <c r="Q21" s="13"/>
      <c r="R21" s="13"/>
      <c r="S21" s="13"/>
    </row>
    <row r="22" spans="2:21" x14ac:dyDescent="0.2">
      <c r="P22" s="114" t="s">
        <v>175</v>
      </c>
      <c r="Q22" s="51"/>
      <c r="R22" s="51"/>
      <c r="S22" s="51"/>
    </row>
    <row r="23" spans="2:21" x14ac:dyDescent="0.2">
      <c r="P23" s="13"/>
      <c r="Q23" s="13"/>
      <c r="R23" s="13"/>
      <c r="S23" s="13"/>
    </row>
    <row r="24" spans="2:21" ht="13.5" customHeight="1" x14ac:dyDescent="0.2">
      <c r="P24" s="13" t="s">
        <v>55</v>
      </c>
      <c r="Q24" s="20">
        <v>0.45400000000000001</v>
      </c>
      <c r="R24" s="13"/>
      <c r="S24" s="13"/>
    </row>
    <row r="25" spans="2:21" ht="13.5" customHeight="1" x14ac:dyDescent="0.2">
      <c r="P25" s="13" t="s">
        <v>56</v>
      </c>
      <c r="Q25" s="20">
        <v>0.54600000000000004</v>
      </c>
      <c r="R25" s="13"/>
      <c r="S25" s="13"/>
    </row>
    <row r="26" spans="2:21" s="4" customFormat="1" ht="13.5" customHeight="1" x14ac:dyDescent="0.2">
      <c r="P26" s="770"/>
      <c r="Q26" s="770"/>
      <c r="R26" s="770"/>
      <c r="S26" s="770"/>
      <c r="T26" s="770"/>
      <c r="U26" s="770"/>
    </row>
    <row r="27" spans="2:21" s="4" customFormat="1" ht="13.5" customHeight="1" x14ac:dyDescent="0.2">
      <c r="P27" s="770"/>
      <c r="Q27" s="770"/>
      <c r="R27" s="770"/>
      <c r="S27" s="770"/>
      <c r="T27" s="770"/>
      <c r="U27" s="770"/>
    </row>
    <row r="28" spans="2:21" ht="13.5" thickBot="1" x14ac:dyDescent="0.25">
      <c r="G28" s="770" t="s">
        <v>135</v>
      </c>
      <c r="P28" s="10" t="s">
        <v>57</v>
      </c>
      <c r="U28" s="52" t="s">
        <v>53</v>
      </c>
    </row>
    <row r="29" spans="2:21" ht="78" customHeight="1" x14ac:dyDescent="0.2">
      <c r="B29" s="508" t="s">
        <v>47</v>
      </c>
      <c r="C29" s="870" t="s">
        <v>481</v>
      </c>
      <c r="D29" s="871"/>
      <c r="E29" s="508" t="s">
        <v>215</v>
      </c>
      <c r="F29" s="508" t="s">
        <v>287</v>
      </c>
      <c r="G29" s="508" t="s">
        <v>284</v>
      </c>
      <c r="H29" s="508" t="s">
        <v>42</v>
      </c>
      <c r="I29" s="62"/>
      <c r="J29" s="61" t="s">
        <v>13</v>
      </c>
      <c r="P29" s="4" t="s">
        <v>58</v>
      </c>
      <c r="Q29" s="4"/>
      <c r="T29" s="6">
        <f>SUM(U29)*$T$33</f>
        <v>25183286.2084</v>
      </c>
      <c r="U29" s="77">
        <f>G33+G34</f>
        <v>0.49880000000000002</v>
      </c>
    </row>
    <row r="30" spans="2:21" ht="28.5" customHeight="1" x14ac:dyDescent="0.25">
      <c r="B30" s="476" t="s">
        <v>283</v>
      </c>
      <c r="C30" s="477"/>
      <c r="D30" s="513">
        <f>'ES CT Electric Table A  '!Q14+'ES CT Electric Table A  '!Q30*50%+'ES CT Electric Table A  '!Q34*25%+'ES CT Electric Table A  '!Q11*11%+'ES CT Electric Table A  '!Q24*11%+'ES CT Electric Table A  '!Q31*0.8*11%</f>
        <v>17551453.473768864</v>
      </c>
      <c r="E30" s="479">
        <f>D30/D44</f>
        <v>0.11981121105266317</v>
      </c>
      <c r="F30" s="480">
        <f>D30/D38</f>
        <v>0.13275014691655657</v>
      </c>
      <c r="G30" s="479">
        <v>0.125</v>
      </c>
      <c r="H30" s="480">
        <f>F30-G30</f>
        <v>7.7501469165565662E-3</v>
      </c>
      <c r="I30" s="930" t="s">
        <v>495</v>
      </c>
      <c r="J30" s="930"/>
      <c r="P30" s="4" t="s">
        <v>49</v>
      </c>
      <c r="Q30" s="4"/>
      <c r="T30" s="6" t="e">
        <f>SUM(U30)*$T$33</f>
        <v>#REF!</v>
      </c>
      <c r="U30" s="53" t="e">
        <f>#REF!</f>
        <v>#REF!</v>
      </c>
    </row>
    <row r="31" spans="2:21" ht="24" customHeight="1" x14ac:dyDescent="0.25">
      <c r="B31" s="476" t="s">
        <v>288</v>
      </c>
      <c r="C31" s="477"/>
      <c r="D31" s="513">
        <f>'ES CT Electric Table A  '!Q50-D30</f>
        <v>47693821.303748339</v>
      </c>
      <c r="E31" s="479">
        <f>D31/D44</f>
        <v>0.32557158292739158</v>
      </c>
      <c r="F31" s="480">
        <f>D31/D38</f>
        <v>0.36073147984849141</v>
      </c>
      <c r="G31" s="479">
        <f>50.12%-G30</f>
        <v>0.37619999999999998</v>
      </c>
      <c r="H31" s="480">
        <f>F31-G31</f>
        <v>-1.5468520151508569E-2</v>
      </c>
      <c r="I31" s="768" t="s">
        <v>494</v>
      </c>
      <c r="J31" s="94"/>
      <c r="K31" s="37"/>
      <c r="L31" s="37"/>
      <c r="M31" s="37"/>
      <c r="N31" s="37"/>
      <c r="P31" s="4" t="s">
        <v>59</v>
      </c>
      <c r="Q31" s="4"/>
      <c r="T31" s="6" t="e">
        <f>SUM(U31)*$T$33</f>
        <v>#REF!</v>
      </c>
      <c r="U31" s="53" t="e">
        <f>#REF!</f>
        <v>#REF!</v>
      </c>
    </row>
    <row r="32" spans="2:21" ht="17.25" thickBot="1" x14ac:dyDescent="0.3">
      <c r="B32" s="481" t="s">
        <v>48</v>
      </c>
      <c r="C32" s="482"/>
      <c r="D32" s="514">
        <f>SUM(D30:D31)</f>
        <v>65245274.7775172</v>
      </c>
      <c r="E32" s="484">
        <f>SUM(E30:E31)</f>
        <v>0.44538279398005476</v>
      </c>
      <c r="F32" s="484">
        <f>SUM(F30:F31)</f>
        <v>0.49348162676504798</v>
      </c>
      <c r="G32" s="484">
        <f>SUM(G30:G31)</f>
        <v>0.50119999999999998</v>
      </c>
      <c r="H32" s="484">
        <f>SUM(H30:H31)</f>
        <v>-7.7183732349520029E-3</v>
      </c>
      <c r="I32" s="105"/>
      <c r="J32" s="105"/>
      <c r="P32" s="54" t="s">
        <v>60</v>
      </c>
      <c r="Q32" s="4"/>
      <c r="T32" s="55">
        <f>SUM(U32)*$T$33</f>
        <v>25304456.7916</v>
      </c>
      <c r="U32" s="56">
        <f>G30+G31</f>
        <v>0.50119999999999998</v>
      </c>
    </row>
    <row r="33" spans="2:21" ht="28.5" customHeight="1" x14ac:dyDescent="0.25">
      <c r="B33" s="476" t="s">
        <v>113</v>
      </c>
      <c r="C33" s="477"/>
      <c r="D33" s="513">
        <f>SUM(Q12*('ES CT Electric Table A  '!Q51))</f>
        <v>30403888.628702108</v>
      </c>
      <c r="E33" s="479">
        <f>D33/D44</f>
        <v>0.20754558719363331</v>
      </c>
      <c r="F33" s="480">
        <f>D33/D38</f>
        <v>0.22995934144866825</v>
      </c>
      <c r="G33" s="480">
        <f>E33/E36*G36</f>
        <v>0.22645520000000002</v>
      </c>
      <c r="H33" s="480">
        <f>F33-G33</f>
        <v>3.5041414486682299E-3</v>
      </c>
      <c r="I33" s="933" t="s">
        <v>13</v>
      </c>
      <c r="J33" s="934"/>
      <c r="K33" s="918"/>
      <c r="L33" s="932"/>
      <c r="M33" s="932"/>
      <c r="N33" s="766"/>
      <c r="O33" s="766"/>
      <c r="P33" s="4" t="s">
        <v>9</v>
      </c>
      <c r="Q33" s="4"/>
      <c r="T33" s="6">
        <v>50487743</v>
      </c>
      <c r="U33" s="53" t="e">
        <f>SUM(U29:U32)</f>
        <v>#REF!</v>
      </c>
    </row>
    <row r="34" spans="2:21" ht="24.75" customHeight="1" x14ac:dyDescent="0.25">
      <c r="B34" s="476" t="s">
        <v>112</v>
      </c>
      <c r="C34" s="477"/>
      <c r="D34" s="513">
        <f>'ES CT Electric Table A  '!Q51-D33</f>
        <v>36565029.055663764</v>
      </c>
      <c r="E34" s="479">
        <f>D34/D44</f>
        <v>0.2496032832769246</v>
      </c>
      <c r="F34" s="480">
        <f>D34/D38</f>
        <v>0.27655903178628383</v>
      </c>
      <c r="G34" s="480">
        <f>E34/E36*G36</f>
        <v>0.2723448</v>
      </c>
      <c r="H34" s="480">
        <f>F34-G34</f>
        <v>4.2142317862838286E-3</v>
      </c>
      <c r="I34" s="219"/>
      <c r="J34" s="116"/>
      <c r="L34" s="769"/>
      <c r="M34" s="64"/>
    </row>
    <row r="35" spans="2:21" ht="16.5" x14ac:dyDescent="0.25">
      <c r="B35" s="872"/>
      <c r="C35" s="873"/>
      <c r="D35" s="873"/>
      <c r="E35" s="873"/>
      <c r="F35" s="873"/>
      <c r="G35" s="873"/>
      <c r="H35" s="874"/>
      <c r="I35" s="115"/>
      <c r="J35" s="115"/>
      <c r="L35" s="65"/>
      <c r="M35" s="65"/>
      <c r="T35" s="6"/>
    </row>
    <row r="36" spans="2:21" ht="16.5" x14ac:dyDescent="0.25">
      <c r="B36" s="481" t="s">
        <v>50</v>
      </c>
      <c r="C36" s="482"/>
      <c r="D36" s="483">
        <f>SUM(D33:D35)</f>
        <v>66968917.684365869</v>
      </c>
      <c r="E36" s="484">
        <f>SUM(E33:E35)</f>
        <v>0.45714887047055791</v>
      </c>
      <c r="F36" s="484">
        <f>SUM(F33:F35)</f>
        <v>0.50651837323495208</v>
      </c>
      <c r="G36" s="484">
        <f>1-G32</f>
        <v>0.49880000000000002</v>
      </c>
      <c r="H36" s="484">
        <f>SUM(H33:H35)</f>
        <v>7.7183732349520584E-3</v>
      </c>
      <c r="I36" s="106"/>
      <c r="J36" s="107"/>
    </row>
    <row r="37" spans="2:21" ht="16.5" x14ac:dyDescent="0.25">
      <c r="B37" s="865"/>
      <c r="C37" s="866"/>
      <c r="D37" s="866"/>
      <c r="E37" s="866"/>
      <c r="F37" s="866"/>
      <c r="G37" s="866"/>
      <c r="H37" s="867"/>
      <c r="I37" s="95"/>
      <c r="J37" s="96"/>
    </row>
    <row r="38" spans="2:21" ht="16.5" x14ac:dyDescent="0.25">
      <c r="B38" s="481" t="s">
        <v>101</v>
      </c>
      <c r="C38" s="482"/>
      <c r="D38" s="483">
        <f>D32+D36</f>
        <v>132214192.46188307</v>
      </c>
      <c r="E38" s="484">
        <f>E32+E36</f>
        <v>0.90253166445061273</v>
      </c>
      <c r="F38" s="484">
        <f>F32+F36</f>
        <v>1</v>
      </c>
      <c r="G38" s="484">
        <f>G32+G36</f>
        <v>1</v>
      </c>
      <c r="H38" s="484">
        <f>H32+H36</f>
        <v>5.5511151231257827E-17</v>
      </c>
      <c r="I38" s="95"/>
      <c r="J38" s="96"/>
    </row>
    <row r="39" spans="2:21" ht="16.5" x14ac:dyDescent="0.25">
      <c r="B39" s="872"/>
      <c r="C39" s="873"/>
      <c r="D39" s="873"/>
      <c r="E39" s="873"/>
      <c r="F39" s="873"/>
      <c r="G39" s="873"/>
      <c r="H39" s="874"/>
      <c r="I39" s="97"/>
      <c r="J39" s="98"/>
    </row>
    <row r="40" spans="2:21" s="38" customFormat="1" ht="15" customHeight="1" x14ac:dyDescent="0.25">
      <c r="B40" s="859" t="s">
        <v>51</v>
      </c>
      <c r="C40" s="860"/>
      <c r="D40" s="860"/>
      <c r="E40" s="860"/>
      <c r="F40" s="860"/>
      <c r="G40" s="860"/>
      <c r="H40" s="861"/>
      <c r="I40" s="99"/>
      <c r="J40" s="100"/>
    </row>
    <row r="41" spans="2:21" s="38" customFormat="1" ht="24.75" customHeight="1" x14ac:dyDescent="0.25">
      <c r="B41" s="476" t="s">
        <v>51</v>
      </c>
      <c r="C41" s="477"/>
      <c r="D41" s="509">
        <f>'ES CT Electric Table A  '!Q52</f>
        <v>14278387.986653591</v>
      </c>
      <c r="E41" s="479">
        <f>D41/D44</f>
        <v>9.7468335549387344E-2</v>
      </c>
      <c r="F41" s="485"/>
      <c r="G41" s="486"/>
      <c r="H41" s="486"/>
      <c r="I41" s="99"/>
      <c r="J41" s="100"/>
    </row>
    <row r="42" spans="2:21" s="38" customFormat="1" ht="21" customHeight="1" x14ac:dyDescent="0.25">
      <c r="B42" s="487" t="s">
        <v>52</v>
      </c>
      <c r="C42" s="488"/>
      <c r="D42" s="483">
        <f>SUM(D41)</f>
        <v>14278387.986653591</v>
      </c>
      <c r="E42" s="484">
        <f>SUM(E41)</f>
        <v>9.7468335549387344E-2</v>
      </c>
      <c r="F42" s="489"/>
      <c r="G42" s="510"/>
      <c r="H42" s="510"/>
      <c r="I42" s="99"/>
      <c r="J42" s="99"/>
    </row>
    <row r="43" spans="2:21" s="38" customFormat="1" ht="16.5" x14ac:dyDescent="0.25">
      <c r="B43" s="862"/>
      <c r="C43" s="863"/>
      <c r="D43" s="863"/>
      <c r="E43" s="863"/>
      <c r="F43" s="863"/>
      <c r="G43" s="863"/>
      <c r="H43" s="864"/>
      <c r="I43" s="99"/>
      <c r="J43" s="99"/>
    </row>
    <row r="44" spans="2:21" s="38" customFormat="1" ht="16.5" x14ac:dyDescent="0.25">
      <c r="B44" s="487" t="s">
        <v>212</v>
      </c>
      <c r="C44" s="488"/>
      <c r="D44" s="490">
        <f>D42+D38</f>
        <v>146492580.44853666</v>
      </c>
      <c r="E44" s="484">
        <f>E38+E42</f>
        <v>1</v>
      </c>
      <c r="F44" s="511"/>
      <c r="G44" s="511"/>
      <c r="H44" s="511"/>
      <c r="I44" s="99"/>
      <c r="J44" s="99"/>
    </row>
    <row r="45" spans="2:21" s="41" customFormat="1" ht="16.5" x14ac:dyDescent="0.25">
      <c r="B45" s="927"/>
      <c r="C45" s="927"/>
      <c r="D45" s="927"/>
      <c r="E45" s="927"/>
      <c r="F45" s="927"/>
      <c r="G45" s="494"/>
      <c r="H45" s="494"/>
      <c r="I45" s="76"/>
    </row>
    <row r="46" spans="2:21" s="41" customFormat="1" ht="16.5" x14ac:dyDescent="0.25">
      <c r="B46" s="767" t="s">
        <v>285</v>
      </c>
      <c r="C46" s="767"/>
      <c r="D46" s="767"/>
      <c r="E46" s="767"/>
      <c r="F46" s="767"/>
      <c r="G46" s="494"/>
      <c r="H46" s="494"/>
      <c r="I46" s="76"/>
    </row>
    <row r="47" spans="2:21" s="41" customFormat="1" ht="16.5" x14ac:dyDescent="0.25">
      <c r="B47" s="497" t="s">
        <v>295</v>
      </c>
      <c r="C47" s="497"/>
      <c r="D47" s="496"/>
      <c r="E47" s="498"/>
      <c r="F47" s="498"/>
      <c r="G47" s="499"/>
      <c r="H47" s="500"/>
    </row>
    <row r="48" spans="2:21" s="41" customFormat="1" ht="16.5" x14ac:dyDescent="0.25">
      <c r="B48" s="497" t="s">
        <v>286</v>
      </c>
      <c r="C48" s="497"/>
      <c r="D48" s="496"/>
      <c r="E48" s="500"/>
      <c r="F48" s="500"/>
      <c r="G48" s="500"/>
      <c r="H48" s="500"/>
    </row>
    <row r="49" spans="2:8" x14ac:dyDescent="0.2">
      <c r="B49" s="167" t="s">
        <v>13</v>
      </c>
    </row>
    <row r="50" spans="2:8" x14ac:dyDescent="0.2">
      <c r="B50" s="45"/>
      <c r="C50" s="45"/>
      <c r="D50" s="46"/>
      <c r="E50" s="13"/>
      <c r="F50" s="13"/>
      <c r="G50" s="13"/>
      <c r="H50" s="13"/>
    </row>
    <row r="51" spans="2:8" x14ac:dyDescent="0.2">
      <c r="B51" s="13"/>
      <c r="C51" s="13"/>
      <c r="D51" s="47"/>
      <c r="E51" s="13"/>
      <c r="F51" s="13"/>
      <c r="G51" s="13"/>
      <c r="H51" s="13"/>
    </row>
  </sheetData>
  <mergeCells count="12">
    <mergeCell ref="B45:F45"/>
    <mergeCell ref="B2:O2"/>
    <mergeCell ref="B3:O3"/>
    <mergeCell ref="C29:D29"/>
    <mergeCell ref="I30:J30"/>
    <mergeCell ref="I33:K33"/>
    <mergeCell ref="L33:M33"/>
    <mergeCell ref="B35:H35"/>
    <mergeCell ref="B37:H37"/>
    <mergeCell ref="B39:H39"/>
    <mergeCell ref="B40:H40"/>
    <mergeCell ref="B43:H43"/>
  </mergeCells>
  <pageMargins left="0.75" right="0.75" top="1" bottom="1" header="0.5" footer="0.5"/>
  <pageSetup scale="57" orientation="landscape"/>
  <headerFooter alignWithMargins="0">
    <oddFooter xml:space="preserve">&amp;CTotals may vary due to rounding
</oddFoot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30A19-A13C-48FB-B6EB-4934B5AF6DC5}">
  <sheetPr>
    <tabColor theme="9" tint="0.39997558519241921"/>
    <pageSetUpPr fitToPage="1"/>
  </sheetPr>
  <dimension ref="A2:BR66"/>
  <sheetViews>
    <sheetView showGridLines="0" topLeftCell="D1" zoomScale="85" zoomScaleNormal="85" workbookViewId="0">
      <pane ySplit="5" topLeftCell="A6" activePane="bottomLeft" state="frozen"/>
      <selection activeCell="K32" sqref="K32"/>
      <selection pane="bottomLeft" activeCell="G15" sqref="G15"/>
    </sheetView>
  </sheetViews>
  <sheetFormatPr defaultColWidth="9.140625" defaultRowHeight="12.75" x14ac:dyDescent="0.2"/>
  <cols>
    <col min="1" max="1" width="4.85546875" style="126" hidden="1" customWidth="1"/>
    <col min="2" max="2" width="7" style="126" hidden="1" customWidth="1"/>
    <col min="3" max="3" width="7" style="126" customWidth="1"/>
    <col min="4" max="4" width="63.5703125" style="126" customWidth="1"/>
    <col min="5" max="5" width="13.140625" style="143" bestFit="1" customWidth="1"/>
    <col min="6" max="6" width="15.7109375" style="144" customWidth="1"/>
    <col min="7" max="7" width="18.5703125" style="144" customWidth="1"/>
    <col min="8" max="8" width="16.42578125" style="126" bestFit="1" customWidth="1"/>
    <col min="9" max="9" width="15.7109375" style="126" bestFit="1" customWidth="1"/>
    <col min="10" max="10" width="15.42578125" style="126" bestFit="1" customWidth="1"/>
    <col min="11" max="11" width="19.85546875" style="126" bestFit="1" customWidth="1"/>
    <col min="12" max="12" width="21.140625" style="126" customWidth="1"/>
    <col min="13" max="13" width="14.85546875" style="126" bestFit="1" customWidth="1"/>
    <col min="14" max="14" width="20.42578125" style="126" bestFit="1" customWidth="1"/>
    <col min="15" max="15" width="21.5703125" style="127" customWidth="1"/>
    <col min="16" max="16" width="13.140625" style="126" customWidth="1"/>
    <col min="17" max="17" width="12.140625" style="126" customWidth="1"/>
    <col min="18" max="18" width="12.5703125" style="126" customWidth="1"/>
    <col min="19" max="19" width="11.7109375" style="126" customWidth="1"/>
    <col min="20" max="20" width="9.140625" style="126" customWidth="1"/>
    <col min="21" max="21" width="19.42578125" style="126" customWidth="1"/>
    <col min="22" max="22" width="18" style="126" customWidth="1"/>
    <col min="23" max="37" width="9.140625" style="126" customWidth="1"/>
    <col min="38" max="16384" width="9.140625" style="126"/>
  </cols>
  <sheetData>
    <row r="2" spans="2:70" s="125" customFormat="1" ht="27.75" customHeight="1" x14ac:dyDescent="0.45">
      <c r="B2" s="118"/>
      <c r="C2" s="118"/>
      <c r="D2" s="937" t="s">
        <v>171</v>
      </c>
      <c r="E2" s="937"/>
      <c r="F2" s="937"/>
      <c r="G2" s="937"/>
      <c r="H2" s="937"/>
      <c r="I2" s="937"/>
      <c r="J2" s="937"/>
      <c r="K2" s="937"/>
      <c r="L2" s="937"/>
      <c r="M2" s="937"/>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119"/>
      <c r="BK2" s="119"/>
      <c r="BL2" s="119"/>
      <c r="BM2" s="119"/>
      <c r="BN2" s="120"/>
      <c r="BO2" s="121" t="s">
        <v>156</v>
      </c>
      <c r="BP2" s="122">
        <v>3000428</v>
      </c>
      <c r="BQ2" s="123"/>
      <c r="BR2" s="124"/>
    </row>
    <row r="3" spans="2:70" ht="23.25" x14ac:dyDescent="0.35">
      <c r="D3" s="937" t="s">
        <v>405</v>
      </c>
      <c r="E3" s="937"/>
      <c r="F3" s="937"/>
      <c r="G3" s="937"/>
      <c r="H3" s="937"/>
      <c r="I3" s="937"/>
      <c r="J3" s="937"/>
      <c r="K3" s="937"/>
      <c r="L3" s="937"/>
      <c r="M3" s="937"/>
    </row>
    <row r="4" spans="2:70" ht="16.5" customHeight="1" thickBot="1" x14ac:dyDescent="0.3">
      <c r="D4" s="128"/>
      <c r="E4" s="129"/>
      <c r="F4" s="130"/>
      <c r="G4" s="130"/>
      <c r="H4" s="131"/>
      <c r="I4" s="131"/>
      <c r="J4" s="131"/>
      <c r="K4" s="131"/>
      <c r="L4" s="131"/>
      <c r="M4" s="131"/>
    </row>
    <row r="5" spans="2:70" ht="55.5" thickBot="1" x14ac:dyDescent="0.35">
      <c r="B5" s="132"/>
      <c r="C5" s="132"/>
      <c r="D5" s="333" t="s">
        <v>301</v>
      </c>
      <c r="E5" s="334" t="s">
        <v>157</v>
      </c>
      <c r="F5" s="334" t="s">
        <v>32</v>
      </c>
      <c r="G5" s="334" t="s">
        <v>14</v>
      </c>
      <c r="H5" s="334" t="s">
        <v>61</v>
      </c>
      <c r="I5" s="334" t="s">
        <v>12</v>
      </c>
      <c r="J5" s="334" t="s">
        <v>33</v>
      </c>
      <c r="K5" s="334" t="s">
        <v>38</v>
      </c>
      <c r="L5" s="334" t="s">
        <v>34</v>
      </c>
      <c r="M5" s="334" t="s">
        <v>35</v>
      </c>
      <c r="Q5" s="182"/>
      <c r="R5" s="180"/>
      <c r="S5" s="180"/>
      <c r="U5" s="182"/>
      <c r="V5" s="180"/>
    </row>
    <row r="6" spans="2:70" ht="21" thickBot="1" x14ac:dyDescent="0.35">
      <c r="B6" s="132"/>
      <c r="C6" s="132"/>
      <c r="D6" s="935" t="s">
        <v>15</v>
      </c>
      <c r="E6" s="935"/>
      <c r="F6" s="935"/>
      <c r="G6" s="935"/>
      <c r="H6" s="935"/>
      <c r="I6" s="935"/>
      <c r="J6" s="935"/>
      <c r="K6" s="935"/>
      <c r="L6" s="935"/>
      <c r="M6" s="935"/>
      <c r="Q6" s="180"/>
      <c r="R6" s="180"/>
      <c r="S6" s="180"/>
    </row>
    <row r="7" spans="2:70" ht="19.5" thickBot="1" x14ac:dyDescent="0.35">
      <c r="B7" s="314" t="s">
        <v>29</v>
      </c>
      <c r="C7" s="314"/>
      <c r="D7" s="335" t="s">
        <v>114</v>
      </c>
      <c r="E7" s="336">
        <f>140.6421262444*1.03</f>
        <v>144.86139003173201</v>
      </c>
      <c r="F7" s="336">
        <v>1</v>
      </c>
      <c r="G7" s="337">
        <f>800+400-300</f>
        <v>900</v>
      </c>
      <c r="H7" s="336">
        <v>27</v>
      </c>
      <c r="I7" s="336">
        <f>N7/1000-E7-F7-G7-H7-J7-K7-L7</f>
        <v>2500.0386099682682</v>
      </c>
      <c r="J7" s="337">
        <f>656.1-100</f>
        <v>556.1</v>
      </c>
      <c r="K7" s="336">
        <v>20</v>
      </c>
      <c r="L7" s="336">
        <v>9</v>
      </c>
      <c r="M7" s="338">
        <f t="shared" ref="M7:M12" si="0">SUM(E7:L7)</f>
        <v>4158.0000000000009</v>
      </c>
      <c r="N7" s="317">
        <f>'ES CT Electric Table A  '!J10</f>
        <v>4158000</v>
      </c>
      <c r="O7" s="318">
        <f t="shared" ref="O7:O13" si="1">N7/1000-M7</f>
        <v>0</v>
      </c>
      <c r="Q7" s="181"/>
      <c r="R7" s="181"/>
      <c r="S7" s="181"/>
      <c r="U7" s="183"/>
      <c r="V7" s="183"/>
    </row>
    <row r="8" spans="2:70" s="134" customFormat="1" ht="19.5" thickBot="1" x14ac:dyDescent="0.35">
      <c r="B8" s="314" t="s">
        <v>29</v>
      </c>
      <c r="C8" s="314"/>
      <c r="D8" s="335" t="s">
        <v>115</v>
      </c>
      <c r="E8" s="325">
        <f>186.73816807792*1.03</f>
        <v>192.3403131202576</v>
      </c>
      <c r="F8" s="325">
        <v>1</v>
      </c>
      <c r="G8" s="325">
        <f>100+100+30</f>
        <v>230</v>
      </c>
      <c r="H8" s="325">
        <v>2</v>
      </c>
      <c r="I8" s="336">
        <f>N8/1000-E8-F8-G8-H8-J8-K8-L8</f>
        <v>3456.7486868797428</v>
      </c>
      <c r="J8" s="325">
        <f>43.2+35</f>
        <v>78.2</v>
      </c>
      <c r="K8" s="325">
        <v>17.100000000000001</v>
      </c>
      <c r="L8" s="325">
        <v>9</v>
      </c>
      <c r="M8" s="338">
        <f t="shared" si="0"/>
        <v>3986.3890000000001</v>
      </c>
      <c r="N8" s="317">
        <f>'ES CT Electric Table A  '!J11</f>
        <v>3986389</v>
      </c>
      <c r="O8" s="318">
        <f t="shared" si="1"/>
        <v>0</v>
      </c>
      <c r="Q8" s="181"/>
      <c r="R8" s="181"/>
      <c r="S8" s="181"/>
      <c r="U8" s="183"/>
      <c r="V8" s="183"/>
    </row>
    <row r="9" spans="2:70" ht="19.5" thickBot="1" x14ac:dyDescent="0.35">
      <c r="B9" s="320" t="s">
        <v>29</v>
      </c>
      <c r="C9" s="320"/>
      <c r="D9" s="335" t="s">
        <v>519</v>
      </c>
      <c r="E9" s="325">
        <f>1508.1497667088*1.03+190</f>
        <v>1743.394259710064</v>
      </c>
      <c r="F9" s="336">
        <v>4</v>
      </c>
      <c r="G9" s="336">
        <f>1095.732+50+2000+386</f>
        <v>3531.732</v>
      </c>
      <c r="H9" s="325">
        <v>100.148</v>
      </c>
      <c r="I9" s="336">
        <f>N9/1000-E9-F9-G9-H9-J9-K9-L9</f>
        <v>18472.468440289933</v>
      </c>
      <c r="J9" s="336">
        <v>750</v>
      </c>
      <c r="K9" s="336">
        <v>40</v>
      </c>
      <c r="L9" s="336">
        <v>20</v>
      </c>
      <c r="M9" s="339">
        <f t="shared" si="0"/>
        <v>24661.742699999995</v>
      </c>
      <c r="N9" s="317">
        <f>'ES CT Electric Table A  '!J12</f>
        <v>24661742.699999999</v>
      </c>
      <c r="O9" s="318">
        <f t="shared" si="1"/>
        <v>0</v>
      </c>
      <c r="Q9" s="181"/>
      <c r="R9" s="181"/>
      <c r="S9" s="181"/>
      <c r="U9" s="183"/>
      <c r="V9" s="183"/>
    </row>
    <row r="10" spans="2:70" ht="19.5" thickBot="1" x14ac:dyDescent="0.35">
      <c r="B10" s="320" t="s">
        <v>29</v>
      </c>
      <c r="C10" s="320"/>
      <c r="D10" s="335" t="s">
        <v>377</v>
      </c>
      <c r="E10" s="325">
        <f>118.931215235328*1.03+30</f>
        <v>152.49915169238784</v>
      </c>
      <c r="F10" s="336">
        <v>1</v>
      </c>
      <c r="G10" s="336">
        <f>500+700-6+90</f>
        <v>1284</v>
      </c>
      <c r="H10" s="325">
        <v>20</v>
      </c>
      <c r="I10" s="336">
        <f>N10/1000-E10-F10-G10-H10-J10-K10-L10</f>
        <v>12679.204848307612</v>
      </c>
      <c r="J10" s="336">
        <f>191+100</f>
        <v>291</v>
      </c>
      <c r="K10" s="336">
        <v>18</v>
      </c>
      <c r="L10" s="336">
        <v>18</v>
      </c>
      <c r="M10" s="339">
        <f t="shared" si="0"/>
        <v>14463.704</v>
      </c>
      <c r="N10" s="317">
        <f>'ES CT Electric Table A  '!J13</f>
        <v>14463704</v>
      </c>
      <c r="O10" s="318">
        <f t="shared" si="1"/>
        <v>0</v>
      </c>
      <c r="Q10" s="181"/>
      <c r="R10" s="181"/>
      <c r="S10" s="181"/>
      <c r="U10" s="183"/>
      <c r="V10" s="183"/>
    </row>
    <row r="11" spans="2:70" ht="19.5" thickBot="1" x14ac:dyDescent="0.35">
      <c r="B11" s="314" t="s">
        <v>29</v>
      </c>
      <c r="C11" s="314"/>
      <c r="D11" s="335" t="s">
        <v>276</v>
      </c>
      <c r="E11" s="325">
        <f>1642.24284432752*1.03+150</f>
        <v>1841.5101296573457</v>
      </c>
      <c r="F11" s="336">
        <v>5</v>
      </c>
      <c r="G11" s="336">
        <f>600+50+600+150</f>
        <v>1400</v>
      </c>
      <c r="H11" s="325">
        <v>163</v>
      </c>
      <c r="I11" s="336">
        <f>N11/1000-E11-F11-G11-H11-J11-K11-L11</f>
        <v>14224.976142418976</v>
      </c>
      <c r="J11" s="336">
        <v>750</v>
      </c>
      <c r="K11" s="336">
        <v>25.873727923679802</v>
      </c>
      <c r="L11" s="336">
        <v>34</v>
      </c>
      <c r="M11" s="339">
        <f t="shared" si="0"/>
        <v>18444.360000000004</v>
      </c>
      <c r="N11" s="317">
        <f>'ES CT Electric Table A  '!J14</f>
        <v>18444360</v>
      </c>
      <c r="O11" s="318">
        <f t="shared" si="1"/>
        <v>0</v>
      </c>
      <c r="Q11" s="181"/>
      <c r="R11" s="181"/>
      <c r="S11" s="181"/>
      <c r="U11" s="183"/>
      <c r="V11" s="183"/>
    </row>
    <row r="12" spans="2:70" ht="19.5" thickBot="1" x14ac:dyDescent="0.35">
      <c r="B12" s="314" t="s">
        <v>29</v>
      </c>
      <c r="C12" s="314"/>
      <c r="D12" s="335" t="s">
        <v>140</v>
      </c>
      <c r="E12" s="325">
        <v>0</v>
      </c>
      <c r="F12" s="336">
        <v>0</v>
      </c>
      <c r="G12" s="337">
        <f>SUM(N12/1000-E12-F12-H12-I12-J12-K12-L12)</f>
        <v>90</v>
      </c>
      <c r="H12" s="325">
        <v>0</v>
      </c>
      <c r="I12" s="325">
        <v>0</v>
      </c>
      <c r="J12" s="336">
        <v>0</v>
      </c>
      <c r="K12" s="336">
        <v>0</v>
      </c>
      <c r="L12" s="336">
        <v>0</v>
      </c>
      <c r="M12" s="339">
        <f t="shared" si="0"/>
        <v>90</v>
      </c>
      <c r="N12" s="317">
        <f>'ES CT Electric Table A  '!J15</f>
        <v>90000</v>
      </c>
      <c r="O12" s="318">
        <f t="shared" si="1"/>
        <v>0</v>
      </c>
      <c r="Q12" s="181"/>
      <c r="R12" s="181"/>
      <c r="S12" s="181"/>
      <c r="U12" s="183"/>
      <c r="V12" s="183"/>
    </row>
    <row r="13" spans="2:70" ht="19.5" thickBot="1" x14ac:dyDescent="0.35">
      <c r="B13" s="320"/>
      <c r="C13" s="320"/>
      <c r="D13" s="340" t="s">
        <v>291</v>
      </c>
      <c r="E13" s="341">
        <f>SUM(E7:E12)</f>
        <v>4074.6052442117871</v>
      </c>
      <c r="F13" s="341">
        <f t="shared" ref="F13:M13" si="2">SUM(F7:F12)</f>
        <v>12</v>
      </c>
      <c r="G13" s="341">
        <f t="shared" si="2"/>
        <v>7435.732</v>
      </c>
      <c r="H13" s="341">
        <f t="shared" si="2"/>
        <v>312.14800000000002</v>
      </c>
      <c r="I13" s="341">
        <f t="shared" si="2"/>
        <v>51333.436727864537</v>
      </c>
      <c r="J13" s="341">
        <f t="shared" si="2"/>
        <v>2425.3000000000002</v>
      </c>
      <c r="K13" s="341">
        <f t="shared" si="2"/>
        <v>120.9737279236798</v>
      </c>
      <c r="L13" s="341">
        <f t="shared" si="2"/>
        <v>90</v>
      </c>
      <c r="M13" s="341">
        <f t="shared" si="2"/>
        <v>65804.195699999997</v>
      </c>
      <c r="N13" s="317">
        <f>'ES CT Electric Table A  '!J16</f>
        <v>65804195.700000003</v>
      </c>
      <c r="O13" s="318">
        <f t="shared" si="1"/>
        <v>0</v>
      </c>
      <c r="Q13" s="181"/>
      <c r="R13" s="181"/>
      <c r="S13" s="181"/>
      <c r="U13" s="180"/>
      <c r="V13" s="180"/>
    </row>
    <row r="14" spans="2:70" ht="19.5" thickBot="1" x14ac:dyDescent="0.35">
      <c r="B14" s="320"/>
      <c r="C14" s="320"/>
      <c r="D14" s="936" t="s">
        <v>16</v>
      </c>
      <c r="E14" s="936"/>
      <c r="F14" s="936"/>
      <c r="G14" s="936"/>
      <c r="H14" s="936"/>
      <c r="I14" s="936"/>
      <c r="J14" s="936"/>
      <c r="K14" s="936"/>
      <c r="L14" s="936"/>
      <c r="M14" s="936"/>
      <c r="N14" s="317"/>
      <c r="O14" s="313"/>
      <c r="Q14" s="181"/>
      <c r="R14" s="181"/>
      <c r="S14" s="181"/>
      <c r="U14" s="180"/>
      <c r="V14" s="180"/>
    </row>
    <row r="15" spans="2:70" ht="19.5" thickBot="1" x14ac:dyDescent="0.35">
      <c r="B15" s="314" t="s">
        <v>30</v>
      </c>
      <c r="C15" s="314"/>
      <c r="D15" s="322" t="s">
        <v>116</v>
      </c>
      <c r="E15" s="323">
        <f>1007.21299305998*1.03+50</f>
        <v>1087.4293828517793</v>
      </c>
      <c r="F15" s="323">
        <v>4</v>
      </c>
      <c r="G15" s="324">
        <v>600.76199999999994</v>
      </c>
      <c r="H15" s="325">
        <v>152.33856</v>
      </c>
      <c r="I15" s="315">
        <f>N15/1000-E15-F15-G15-H15-J15-K15-L15</f>
        <v>11531.73553239992</v>
      </c>
      <c r="J15" s="323">
        <v>100</v>
      </c>
      <c r="K15" s="323">
        <v>27</v>
      </c>
      <c r="L15" s="323">
        <v>10</v>
      </c>
      <c r="M15" s="316">
        <f>SUM(E15:L15)</f>
        <v>13513.265475251699</v>
      </c>
      <c r="N15" s="317">
        <f>'ES CT Electric Table A  '!J18</f>
        <v>13513265.475251701</v>
      </c>
      <c r="O15" s="326">
        <f>N15/1000-M15</f>
        <v>0</v>
      </c>
      <c r="Q15" s="181"/>
      <c r="R15" s="181"/>
      <c r="S15" s="181"/>
      <c r="U15" s="183"/>
      <c r="V15" s="183"/>
    </row>
    <row r="16" spans="2:70" ht="19.5" thickBot="1" x14ac:dyDescent="0.35">
      <c r="B16" s="314" t="s">
        <v>30</v>
      </c>
      <c r="C16" s="314"/>
      <c r="D16" s="335" t="s">
        <v>127</v>
      </c>
      <c r="E16" s="325">
        <f>3971.62715061551*1.03+150</f>
        <v>4240.7759651339748</v>
      </c>
      <c r="F16" s="325">
        <v>5</v>
      </c>
      <c r="G16" s="344">
        <f>1900+300+100+100</f>
        <v>2400</v>
      </c>
      <c r="H16" s="325">
        <v>588.18992000000003</v>
      </c>
      <c r="I16" s="336">
        <f>N16/1000-E16-F16-G16-H16-J16-K16-L16</f>
        <v>29109.484738531628</v>
      </c>
      <c r="J16" s="325">
        <v>250</v>
      </c>
      <c r="K16" s="325">
        <v>150</v>
      </c>
      <c r="L16" s="344">
        <v>90</v>
      </c>
      <c r="M16" s="338">
        <f>SUM(E16:L16)</f>
        <v>36833.450623665602</v>
      </c>
      <c r="N16" s="317">
        <f>'ES CT Electric Table A  '!J19</f>
        <v>36833450.623665601</v>
      </c>
      <c r="O16" s="326">
        <f>N16/1000-M16</f>
        <v>0</v>
      </c>
      <c r="Q16" s="181"/>
      <c r="R16" s="181"/>
      <c r="S16" s="181"/>
      <c r="U16" s="183"/>
      <c r="V16" s="183"/>
    </row>
    <row r="17" spans="2:35" ht="37.5" thickBot="1" x14ac:dyDescent="0.35">
      <c r="B17" s="314" t="s">
        <v>30</v>
      </c>
      <c r="C17" s="314"/>
      <c r="D17" s="355" t="s">
        <v>435</v>
      </c>
      <c r="E17" s="325">
        <f>176.13*1.03</f>
        <v>181.41390000000001</v>
      </c>
      <c r="F17" s="325">
        <v>2</v>
      </c>
      <c r="G17" s="344">
        <v>798.14</v>
      </c>
      <c r="H17" s="325">
        <v>2</v>
      </c>
      <c r="I17" s="336">
        <f>N17/1000-E17-F17-G17-H17-J17-K17-L17</f>
        <v>2114.4118412745302</v>
      </c>
      <c r="J17" s="325">
        <v>50</v>
      </c>
      <c r="K17" s="325">
        <v>6</v>
      </c>
      <c r="L17" s="325">
        <v>22</v>
      </c>
      <c r="M17" s="346">
        <f>SUM(E17:L17)</f>
        <v>3175.96574127453</v>
      </c>
      <c r="N17" s="317">
        <f>'ES CT Electric Table A  '!J20</f>
        <v>3175965.7412745301</v>
      </c>
      <c r="O17" s="326">
        <f>N17/1000-M17</f>
        <v>0</v>
      </c>
      <c r="Q17" s="181" t="s">
        <v>13</v>
      </c>
      <c r="R17" s="181"/>
      <c r="S17" s="181"/>
      <c r="U17" s="183"/>
      <c r="V17" s="183"/>
    </row>
    <row r="18" spans="2:35" ht="19.5" thickBot="1" x14ac:dyDescent="0.35">
      <c r="B18" s="314" t="s">
        <v>30</v>
      </c>
      <c r="C18" s="314"/>
      <c r="D18" s="335" t="s">
        <v>126</v>
      </c>
      <c r="E18" s="325">
        <f>1385.65590198934*1.03+100</f>
        <v>1527.2255790490203</v>
      </c>
      <c r="F18" s="325">
        <v>5</v>
      </c>
      <c r="G18" s="325">
        <f>400+50</f>
        <v>450</v>
      </c>
      <c r="H18" s="325">
        <v>144</v>
      </c>
      <c r="I18" s="336">
        <f>N18/1000-E18-F18-G18-H18-J18-K18-L18</f>
        <v>12153.299259514581</v>
      </c>
      <c r="J18" s="325">
        <v>200</v>
      </c>
      <c r="K18" s="325">
        <v>27</v>
      </c>
      <c r="L18" s="325">
        <v>20</v>
      </c>
      <c r="M18" s="346">
        <f>SUM(E18:L18)</f>
        <v>14526.5248385636</v>
      </c>
      <c r="N18" s="317">
        <f>'ES CT Electric Table A  '!J21</f>
        <v>14526524.838563601</v>
      </c>
      <c r="O18" s="326">
        <f>N18/1000-M18</f>
        <v>0</v>
      </c>
      <c r="Q18" s="181"/>
      <c r="R18" s="181"/>
      <c r="S18" s="181"/>
      <c r="U18" s="183"/>
      <c r="V18" s="183"/>
    </row>
    <row r="19" spans="2:35" ht="18.75" thickBot="1" x14ac:dyDescent="0.3">
      <c r="B19" s="314"/>
      <c r="C19" s="314"/>
      <c r="D19" s="340" t="s">
        <v>296</v>
      </c>
      <c r="E19" s="343">
        <f>SUM(E15:E18)</f>
        <v>7036.8448270347744</v>
      </c>
      <c r="F19" s="343">
        <f t="shared" ref="F19:M19" si="3">SUM(F15:F18)</f>
        <v>16</v>
      </c>
      <c r="G19" s="343">
        <f t="shared" si="3"/>
        <v>4248.902</v>
      </c>
      <c r="H19" s="343">
        <f t="shared" si="3"/>
        <v>886.52848000000006</v>
      </c>
      <c r="I19" s="343">
        <f t="shared" si="3"/>
        <v>54908.931371720653</v>
      </c>
      <c r="J19" s="343">
        <f t="shared" si="3"/>
        <v>600</v>
      </c>
      <c r="K19" s="343">
        <f t="shared" si="3"/>
        <v>210</v>
      </c>
      <c r="L19" s="343">
        <f t="shared" si="3"/>
        <v>142</v>
      </c>
      <c r="M19" s="343">
        <f t="shared" si="3"/>
        <v>68049.206678755436</v>
      </c>
      <c r="N19" s="317">
        <f>'ES CT Electric Table A  '!J22</f>
        <v>68049206.678755432</v>
      </c>
      <c r="O19" s="326">
        <f>N19/1000-M19</f>
        <v>0</v>
      </c>
    </row>
    <row r="20" spans="2:35" ht="18.75" thickBot="1" x14ac:dyDescent="0.3">
      <c r="B20" s="314"/>
      <c r="C20" s="314"/>
      <c r="D20" s="935" t="s">
        <v>41</v>
      </c>
      <c r="E20" s="936"/>
      <c r="F20" s="936"/>
      <c r="G20" s="936"/>
      <c r="H20" s="936"/>
      <c r="I20" s="936"/>
      <c r="J20" s="936"/>
      <c r="K20" s="936"/>
      <c r="L20" s="936"/>
      <c r="M20" s="936"/>
      <c r="N20" s="317"/>
      <c r="O20" s="313"/>
    </row>
    <row r="21" spans="2:35" ht="18" x14ac:dyDescent="0.25">
      <c r="B21" s="314"/>
      <c r="C21" s="314"/>
      <c r="D21" s="328" t="s">
        <v>256</v>
      </c>
      <c r="E21" s="319">
        <f>159.65*1.03</f>
        <v>164.43950000000001</v>
      </c>
      <c r="F21" s="319">
        <v>0</v>
      </c>
      <c r="G21" s="319">
        <f>N21/1000-E21-F21-H21-I21-J21-K21-L21</f>
        <v>889.76850000000024</v>
      </c>
      <c r="H21" s="319">
        <v>0</v>
      </c>
      <c r="I21" s="321">
        <f>2835.999-1000+250</f>
        <v>2085.9989999999998</v>
      </c>
      <c r="J21" s="319">
        <f>97.793+102</f>
        <v>199.79300000000001</v>
      </c>
      <c r="K21" s="319">
        <v>0</v>
      </c>
      <c r="L21" s="319">
        <v>0</v>
      </c>
      <c r="M21" s="327">
        <f>SUM(E21:L21)</f>
        <v>3340.0000000000005</v>
      </c>
      <c r="N21" s="317">
        <f>'ES CT Electric Table A  '!J24</f>
        <v>3340000</v>
      </c>
      <c r="O21" s="318">
        <f>N21/1000-M21</f>
        <v>0</v>
      </c>
    </row>
    <row r="22" spans="2:35" ht="18.75" thickBot="1" x14ac:dyDescent="0.3">
      <c r="B22" s="314"/>
      <c r="C22" s="314"/>
      <c r="D22" s="329" t="s">
        <v>258</v>
      </c>
      <c r="E22" s="330">
        <f>159.65*1.03</f>
        <v>164.43950000000001</v>
      </c>
      <c r="F22" s="330">
        <v>0</v>
      </c>
      <c r="G22" s="319">
        <f>N22/1000-E22-F22-H22-I22-J22-K22-L22</f>
        <v>952.38349999999969</v>
      </c>
      <c r="H22" s="330">
        <v>5</v>
      </c>
      <c r="I22" s="331">
        <f>4268.839-1000+250</f>
        <v>3518.8389999999999</v>
      </c>
      <c r="J22" s="330">
        <f>112.338</f>
        <v>112.33799999999999</v>
      </c>
      <c r="K22" s="330">
        <v>0</v>
      </c>
      <c r="L22" s="330">
        <v>0</v>
      </c>
      <c r="M22" s="327">
        <f>SUM(E22:L22)</f>
        <v>4752.9999999999991</v>
      </c>
      <c r="N22" s="317">
        <f>'ES CT Electric Table A  '!J25</f>
        <v>4753000</v>
      </c>
      <c r="O22" s="318">
        <f>N22/1000-M22</f>
        <v>0</v>
      </c>
    </row>
    <row r="23" spans="2:35" ht="18.75" thickBot="1" x14ac:dyDescent="0.3">
      <c r="B23" s="314"/>
      <c r="C23" s="314"/>
      <c r="D23" s="342" t="s">
        <v>299</v>
      </c>
      <c r="E23" s="343">
        <f t="shared" ref="E23:M23" si="4">SUM(E21:E22)</f>
        <v>328.87900000000002</v>
      </c>
      <c r="F23" s="343">
        <f t="shared" si="4"/>
        <v>0</v>
      </c>
      <c r="G23" s="343">
        <f t="shared" si="4"/>
        <v>1842.152</v>
      </c>
      <c r="H23" s="343">
        <f t="shared" si="4"/>
        <v>5</v>
      </c>
      <c r="I23" s="343">
        <f t="shared" si="4"/>
        <v>5604.8379999999997</v>
      </c>
      <c r="J23" s="343">
        <f t="shared" si="4"/>
        <v>312.13099999999997</v>
      </c>
      <c r="K23" s="343">
        <f t="shared" si="4"/>
        <v>0</v>
      </c>
      <c r="L23" s="343">
        <f t="shared" si="4"/>
        <v>0</v>
      </c>
      <c r="M23" s="343">
        <f t="shared" si="4"/>
        <v>8093</v>
      </c>
      <c r="N23" s="317">
        <f>'ES CT Electric Table A  '!J26</f>
        <v>8093000</v>
      </c>
      <c r="O23" s="313">
        <f>N23/1000-M23</f>
        <v>0</v>
      </c>
    </row>
    <row r="24" spans="2:35" ht="18.75" thickBot="1" x14ac:dyDescent="0.3">
      <c r="B24" s="314"/>
      <c r="C24" s="314"/>
      <c r="D24" s="938" t="s">
        <v>261</v>
      </c>
      <c r="E24" s="938"/>
      <c r="F24" s="938"/>
      <c r="G24" s="938"/>
      <c r="H24" s="938"/>
      <c r="I24" s="938"/>
      <c r="J24" s="938"/>
      <c r="K24" s="938"/>
      <c r="L24" s="938"/>
      <c r="M24" s="938"/>
      <c r="N24" s="317"/>
      <c r="O24" s="313"/>
      <c r="AI24" s="126" t="s">
        <v>266</v>
      </c>
    </row>
    <row r="25" spans="2:35" ht="18.75" thickBot="1" x14ac:dyDescent="0.3">
      <c r="B25" s="314" t="s">
        <v>196</v>
      </c>
      <c r="C25" s="314"/>
      <c r="D25" s="563" t="s">
        <v>395</v>
      </c>
      <c r="E25" s="325">
        <v>53.045000000000002</v>
      </c>
      <c r="F25" s="325">
        <v>0</v>
      </c>
      <c r="G25" s="344">
        <f>N25/1000-E25-F25-H25-I25-J25-K25-L25</f>
        <v>634.07500000000005</v>
      </c>
      <c r="H25" s="325">
        <v>0</v>
      </c>
      <c r="I25" s="325">
        <v>0</v>
      </c>
      <c r="J25" s="325">
        <v>48.88</v>
      </c>
      <c r="K25" s="325">
        <v>0</v>
      </c>
      <c r="L25" s="325">
        <v>0</v>
      </c>
      <c r="M25" s="338">
        <f>SUM(E25:L25)</f>
        <v>736</v>
      </c>
      <c r="N25" s="317">
        <f>'ES CT Electric Table A  '!J28</f>
        <v>736000</v>
      </c>
      <c r="O25" s="326">
        <f>N25/1000-M25</f>
        <v>0</v>
      </c>
    </row>
    <row r="26" spans="2:35" ht="18.75" thickBot="1" x14ac:dyDescent="0.3">
      <c r="B26" s="314" t="s">
        <v>18</v>
      </c>
      <c r="C26" s="314"/>
      <c r="D26" s="242" t="s">
        <v>392</v>
      </c>
      <c r="E26" s="325">
        <v>53.277999999999999</v>
      </c>
      <c r="F26" s="325">
        <v>0</v>
      </c>
      <c r="G26" s="344">
        <f>N26/1000-E26-F26-H26-I26-J26-K26-L26</f>
        <v>840.322</v>
      </c>
      <c r="H26" s="325">
        <v>0</v>
      </c>
      <c r="I26" s="325">
        <v>0</v>
      </c>
      <c r="J26" s="325">
        <v>0</v>
      </c>
      <c r="K26" s="325">
        <v>0</v>
      </c>
      <c r="L26" s="325">
        <v>0</v>
      </c>
      <c r="M26" s="338">
        <f>SUM(E26:L26)</f>
        <v>893.6</v>
      </c>
      <c r="N26" s="317">
        <f>'ES CT Electric Table A  '!J29</f>
        <v>893600</v>
      </c>
      <c r="O26" s="326">
        <f>N26/1000-M26</f>
        <v>0</v>
      </c>
    </row>
    <row r="27" spans="2:35" ht="18.75" thickBot="1" x14ac:dyDescent="0.3">
      <c r="B27" s="314" t="s">
        <v>18</v>
      </c>
      <c r="C27" s="314"/>
      <c r="D27" s="555" t="s">
        <v>393</v>
      </c>
      <c r="E27" s="325">
        <v>35.200000000000003</v>
      </c>
      <c r="F27" s="325">
        <v>0</v>
      </c>
      <c r="G27" s="344">
        <f>N27/1000-E27-F27-H27-I27-J27-K27-L27</f>
        <v>633.79999999999995</v>
      </c>
      <c r="H27" s="325">
        <v>0</v>
      </c>
      <c r="I27" s="325">
        <v>0</v>
      </c>
      <c r="J27" s="325">
        <f>35+45</f>
        <v>80</v>
      </c>
      <c r="K27" s="325">
        <v>0</v>
      </c>
      <c r="L27" s="325">
        <v>19</v>
      </c>
      <c r="M27" s="338">
        <f>SUM(E27:L27)</f>
        <v>768</v>
      </c>
      <c r="N27" s="317">
        <f>'ES CT Electric Table A  '!J30</f>
        <v>768000</v>
      </c>
      <c r="O27" s="326">
        <f>N27/1000-M27</f>
        <v>0</v>
      </c>
    </row>
    <row r="28" spans="2:35" ht="18.75" thickBot="1" x14ac:dyDescent="0.3">
      <c r="B28" s="314" t="s">
        <v>196</v>
      </c>
      <c r="C28" s="314"/>
      <c r="D28" s="555" t="s">
        <v>394</v>
      </c>
      <c r="E28" s="325">
        <v>57.6</v>
      </c>
      <c r="F28" s="325">
        <v>0</v>
      </c>
      <c r="G28" s="344">
        <f>N28/1000-E28-F28-H28-I28-J28-K28-L28</f>
        <v>376.4</v>
      </c>
      <c r="H28" s="325">
        <v>16</v>
      </c>
      <c r="I28" s="325">
        <v>0</v>
      </c>
      <c r="J28" s="325">
        <v>0</v>
      </c>
      <c r="K28" s="325">
        <v>0</v>
      </c>
      <c r="L28" s="325">
        <v>0</v>
      </c>
      <c r="M28" s="338">
        <f>SUM(E28:L28)</f>
        <v>450</v>
      </c>
      <c r="N28" s="317">
        <f>'ES CT Electric Table A  '!J31</f>
        <v>450000</v>
      </c>
      <c r="O28" s="318">
        <f>N28/1000-M28</f>
        <v>0</v>
      </c>
    </row>
    <row r="29" spans="2:35" ht="18.75" thickBot="1" x14ac:dyDescent="0.3">
      <c r="B29" s="314"/>
      <c r="C29" s="314"/>
      <c r="D29" s="340" t="s">
        <v>297</v>
      </c>
      <c r="E29" s="343">
        <f t="shared" ref="E29:M29" si="5">SUM(E25:E28)</f>
        <v>199.12300000000002</v>
      </c>
      <c r="F29" s="343">
        <f t="shared" si="5"/>
        <v>0</v>
      </c>
      <c r="G29" s="343">
        <f t="shared" si="5"/>
        <v>2484.5970000000002</v>
      </c>
      <c r="H29" s="343">
        <f t="shared" si="5"/>
        <v>16</v>
      </c>
      <c r="I29" s="343">
        <f t="shared" si="5"/>
        <v>0</v>
      </c>
      <c r="J29" s="343">
        <f t="shared" si="5"/>
        <v>128.88</v>
      </c>
      <c r="K29" s="343">
        <f t="shared" si="5"/>
        <v>0</v>
      </c>
      <c r="L29" s="343">
        <f t="shared" si="5"/>
        <v>19</v>
      </c>
      <c r="M29" s="343">
        <f t="shared" si="5"/>
        <v>2847.6</v>
      </c>
      <c r="N29" s="317">
        <f>'ES CT Electric Table A  '!J32</f>
        <v>2847600</v>
      </c>
      <c r="O29" s="313">
        <f>N29/1000-M29</f>
        <v>0</v>
      </c>
    </row>
    <row r="30" spans="2:35" ht="18.75" thickBot="1" x14ac:dyDescent="0.3">
      <c r="B30" s="312"/>
      <c r="C30" s="312"/>
      <c r="D30" s="935" t="s">
        <v>40</v>
      </c>
      <c r="E30" s="935"/>
      <c r="F30" s="935"/>
      <c r="G30" s="935"/>
      <c r="H30" s="935"/>
      <c r="I30" s="935"/>
      <c r="J30" s="935"/>
      <c r="K30" s="935"/>
      <c r="L30" s="935"/>
      <c r="M30" s="935"/>
      <c r="N30" s="317"/>
      <c r="O30" s="313"/>
    </row>
    <row r="31" spans="2:35" ht="36.75" thickBot="1" x14ac:dyDescent="0.3">
      <c r="B31" s="314" t="s">
        <v>29</v>
      </c>
      <c r="C31" s="314"/>
      <c r="D31" s="356" t="s">
        <v>303</v>
      </c>
      <c r="E31" s="325">
        <v>0</v>
      </c>
      <c r="F31" s="325">
        <v>0</v>
      </c>
      <c r="G31" s="344">
        <v>0</v>
      </c>
      <c r="H31" s="325">
        <v>0</v>
      </c>
      <c r="I31" s="325">
        <v>0</v>
      </c>
      <c r="J31" s="325">
        <v>0</v>
      </c>
      <c r="K31" s="325">
        <f>N31/1000-E31-F31-H31-I31-J31-G31-L31</f>
        <v>2750.0000550754498</v>
      </c>
      <c r="L31" s="346">
        <v>0</v>
      </c>
      <c r="M31" s="338">
        <f>SUM(E31:L31)</f>
        <v>2750.0000550754498</v>
      </c>
      <c r="N31" s="317">
        <f>'ES CT Electric Table A  '!J34</f>
        <v>2750000.0550754499</v>
      </c>
      <c r="O31" s="318">
        <f>N31/1000-M31</f>
        <v>0</v>
      </c>
    </row>
    <row r="32" spans="2:35" ht="18.75" thickBot="1" x14ac:dyDescent="0.3">
      <c r="B32" s="314" t="s">
        <v>30</v>
      </c>
      <c r="C32" s="314"/>
      <c r="D32" s="345" t="s">
        <v>189</v>
      </c>
      <c r="E32" s="325">
        <v>0</v>
      </c>
      <c r="F32" s="325">
        <v>0</v>
      </c>
      <c r="G32" s="344">
        <f>0</f>
        <v>0</v>
      </c>
      <c r="H32" s="325">
        <v>0</v>
      </c>
      <c r="I32" s="325">
        <v>0</v>
      </c>
      <c r="J32" s="325">
        <v>0</v>
      </c>
      <c r="K32" s="325">
        <f>N32/1000-E32-F32-H32-I32-J32-G32-L32</f>
        <v>1750</v>
      </c>
      <c r="L32" s="346">
        <v>0</v>
      </c>
      <c r="M32" s="338">
        <f>SUM(E32:L32)</f>
        <v>1750</v>
      </c>
      <c r="N32" s="317">
        <f>'ES CT Electric Table A  '!J35</f>
        <v>1750000</v>
      </c>
      <c r="O32" s="318">
        <f>N32/1000-M32</f>
        <v>0</v>
      </c>
    </row>
    <row r="33" spans="1:15" ht="20.25" customHeight="1" thickBot="1" x14ac:dyDescent="0.3">
      <c r="B33" s="314" t="s">
        <v>31</v>
      </c>
      <c r="C33" s="314"/>
      <c r="D33" s="335" t="s">
        <v>21</v>
      </c>
      <c r="E33" s="325">
        <f>65.84395646784*1.03</f>
        <v>67.819275161875197</v>
      </c>
      <c r="F33" s="325">
        <v>2</v>
      </c>
      <c r="G33" s="344">
        <f>N33/1000-E33-F33-H33-I33-J33-K33-L33</f>
        <v>87.407584166742822</v>
      </c>
      <c r="H33" s="325">
        <v>0</v>
      </c>
      <c r="I33" s="325">
        <v>0</v>
      </c>
      <c r="J33" s="325">
        <v>0</v>
      </c>
      <c r="K33" s="347">
        <v>0</v>
      </c>
      <c r="L33" s="325">
        <v>5</v>
      </c>
      <c r="M33" s="338">
        <f>SUM(E33:L33)</f>
        <v>162.22685932861802</v>
      </c>
      <c r="N33" s="317">
        <f>'ES CT Electric Table A  '!J36</f>
        <v>162226.85932861801</v>
      </c>
      <c r="O33" s="318">
        <f>N33/1000-M33</f>
        <v>0</v>
      </c>
    </row>
    <row r="34" spans="1:15" ht="18.75" thickBot="1" x14ac:dyDescent="0.3">
      <c r="B34" s="314"/>
      <c r="C34" s="314"/>
      <c r="D34" s="340" t="s">
        <v>298</v>
      </c>
      <c r="E34" s="343">
        <f t="shared" ref="E34:L34" si="6">SUM(E31:E33)</f>
        <v>67.819275161875197</v>
      </c>
      <c r="F34" s="343">
        <f t="shared" si="6"/>
        <v>2</v>
      </c>
      <c r="G34" s="343">
        <f t="shared" si="6"/>
        <v>87.407584166742822</v>
      </c>
      <c r="H34" s="343">
        <f t="shared" si="6"/>
        <v>0</v>
      </c>
      <c r="I34" s="343">
        <f t="shared" si="6"/>
        <v>0</v>
      </c>
      <c r="J34" s="343">
        <f t="shared" si="6"/>
        <v>0</v>
      </c>
      <c r="K34" s="343">
        <f t="shared" si="6"/>
        <v>4500.0000550754503</v>
      </c>
      <c r="L34" s="343">
        <f t="shared" si="6"/>
        <v>5</v>
      </c>
      <c r="M34" s="343">
        <f>SUM(E34:L34)</f>
        <v>4662.2269144040683</v>
      </c>
      <c r="N34" s="317">
        <f>'ES CT Electric Table A  '!J37</f>
        <v>4662226.9144040681</v>
      </c>
      <c r="O34" s="313">
        <f>N34/1000-M34</f>
        <v>0</v>
      </c>
    </row>
    <row r="35" spans="1:15" ht="27" customHeight="1" thickBot="1" x14ac:dyDescent="0.3">
      <c r="B35" s="314"/>
      <c r="C35" s="314"/>
      <c r="D35" s="936" t="s">
        <v>22</v>
      </c>
      <c r="E35" s="936"/>
      <c r="F35" s="936"/>
      <c r="G35" s="936"/>
      <c r="H35" s="936"/>
      <c r="I35" s="936"/>
      <c r="J35" s="936"/>
      <c r="K35" s="936"/>
      <c r="L35" s="936"/>
      <c r="M35" s="936"/>
      <c r="N35" s="317"/>
      <c r="O35" s="313"/>
    </row>
    <row r="36" spans="1:15" ht="20.25" customHeight="1" thickBot="1" x14ac:dyDescent="0.3">
      <c r="B36" s="314" t="s">
        <v>31</v>
      </c>
      <c r="C36" s="314"/>
      <c r="D36" s="265" t="s">
        <v>7</v>
      </c>
      <c r="E36" s="348">
        <f>816.377994695973*1.03</f>
        <v>840.86933453685219</v>
      </c>
      <c r="F36" s="348">
        <v>4</v>
      </c>
      <c r="G36" s="319">
        <f>N36/1000-E36-F36-H36-I36-J36-K36-L36</f>
        <v>17.727660159120774</v>
      </c>
      <c r="H36" s="325">
        <v>40</v>
      </c>
      <c r="I36" s="349">
        <v>0</v>
      </c>
      <c r="J36" s="349">
        <v>0</v>
      </c>
      <c r="K36" s="325">
        <v>0</v>
      </c>
      <c r="L36" s="346">
        <v>0</v>
      </c>
      <c r="M36" s="346">
        <f t="shared" ref="M36:M43" si="7">SUM(E36:L36)</f>
        <v>902.59699469597297</v>
      </c>
      <c r="N36" s="317">
        <f>'ES CT Electric Table A  '!J39</f>
        <v>902596.994695973</v>
      </c>
      <c r="O36" s="318">
        <f t="shared" ref="O36:O45" si="8">N36/1000-M36</f>
        <v>0</v>
      </c>
    </row>
    <row r="37" spans="1:15" ht="20.25" customHeight="1" thickBot="1" x14ac:dyDescent="0.3">
      <c r="B37" s="314" t="s">
        <v>18</v>
      </c>
      <c r="C37" s="314"/>
      <c r="D37" s="265" t="s">
        <v>134</v>
      </c>
      <c r="E37" s="348">
        <v>0</v>
      </c>
      <c r="F37" s="325">
        <v>0</v>
      </c>
      <c r="G37" s="325">
        <v>0</v>
      </c>
      <c r="H37" s="325">
        <v>0</v>
      </c>
      <c r="I37" s="349">
        <v>0</v>
      </c>
      <c r="J37" s="344">
        <f>N37/1000-E37-F37-H37-I37-K37-L37-G37</f>
        <v>428.38002805218599</v>
      </c>
      <c r="K37" s="325">
        <v>1</v>
      </c>
      <c r="L37" s="346">
        <v>1</v>
      </c>
      <c r="M37" s="346">
        <f t="shared" si="7"/>
        <v>430.38002805218599</v>
      </c>
      <c r="N37" s="317">
        <f>'ES CT Electric Table A  '!J40</f>
        <v>430380.02805218601</v>
      </c>
      <c r="O37" s="318">
        <f t="shared" si="8"/>
        <v>0</v>
      </c>
    </row>
    <row r="38" spans="1:15" ht="20.25" customHeight="1" thickBot="1" x14ac:dyDescent="0.3">
      <c r="B38" s="314" t="s">
        <v>31</v>
      </c>
      <c r="C38" s="314"/>
      <c r="D38" s="265" t="s">
        <v>193</v>
      </c>
      <c r="E38" s="325">
        <f>649.30067*1.03</f>
        <v>668.77969010000004</v>
      </c>
      <c r="F38" s="325">
        <v>1</v>
      </c>
      <c r="G38" s="325">
        <f>0</f>
        <v>0</v>
      </c>
      <c r="H38" s="325">
        <f>N38/1000-E38-F38-K38-L38-G38</f>
        <v>61.39030989999992</v>
      </c>
      <c r="I38" s="325">
        <v>0</v>
      </c>
      <c r="J38" s="325">
        <v>0</v>
      </c>
      <c r="K38" s="325">
        <v>10</v>
      </c>
      <c r="L38" s="325">
        <v>12</v>
      </c>
      <c r="M38" s="346">
        <f t="shared" si="7"/>
        <v>753.17</v>
      </c>
      <c r="N38" s="317">
        <f>'ES CT Electric Table A  '!J41</f>
        <v>753170</v>
      </c>
      <c r="O38" s="318">
        <f t="shared" si="8"/>
        <v>0</v>
      </c>
    </row>
    <row r="39" spans="1:15" ht="20.25" customHeight="1" thickBot="1" x14ac:dyDescent="0.3">
      <c r="B39" s="314" t="s">
        <v>31</v>
      </c>
      <c r="C39" s="314"/>
      <c r="D39" s="265" t="s">
        <v>222</v>
      </c>
      <c r="E39" s="325">
        <v>0</v>
      </c>
      <c r="F39" s="325">
        <v>0</v>
      </c>
      <c r="G39" s="325">
        <f>N39/1000-E39-F39-H39-I39-J39-K39-L39</f>
        <v>2878</v>
      </c>
      <c r="H39" s="325">
        <v>0</v>
      </c>
      <c r="I39" s="325">
        <v>0</v>
      </c>
      <c r="J39" s="325">
        <v>0</v>
      </c>
      <c r="K39" s="325">
        <v>1</v>
      </c>
      <c r="L39" s="325">
        <v>1</v>
      </c>
      <c r="M39" s="346">
        <f t="shared" si="7"/>
        <v>2880</v>
      </c>
      <c r="N39" s="317">
        <f>'ES CT Electric Table A  '!J42</f>
        <v>2880000</v>
      </c>
      <c r="O39" s="318">
        <f t="shared" si="8"/>
        <v>0</v>
      </c>
    </row>
    <row r="40" spans="1:15" ht="20.25" customHeight="1" thickBot="1" x14ac:dyDescent="0.3">
      <c r="B40" s="314" t="s">
        <v>31</v>
      </c>
      <c r="C40" s="314"/>
      <c r="D40" s="265" t="s">
        <v>219</v>
      </c>
      <c r="E40" s="325">
        <v>0</v>
      </c>
      <c r="F40" s="325">
        <v>0</v>
      </c>
      <c r="G40" s="325">
        <f>N40/1000-E40-F40-H40-I40-J40-K40-L40</f>
        <v>284.23200000000003</v>
      </c>
      <c r="H40" s="325">
        <v>0</v>
      </c>
      <c r="I40" s="325">
        <v>0</v>
      </c>
      <c r="J40" s="325">
        <v>0</v>
      </c>
      <c r="K40" s="325">
        <v>0</v>
      </c>
      <c r="L40" s="325">
        <v>0</v>
      </c>
      <c r="M40" s="346">
        <f t="shared" si="7"/>
        <v>284.23200000000003</v>
      </c>
      <c r="N40" s="317">
        <f>'ES CT Electric Table A  '!J43</f>
        <v>284232</v>
      </c>
      <c r="O40" s="318">
        <f t="shared" si="8"/>
        <v>0</v>
      </c>
    </row>
    <row r="41" spans="1:15" ht="20.25" customHeight="1" thickBot="1" x14ac:dyDescent="0.3">
      <c r="B41" s="314" t="s">
        <v>31</v>
      </c>
      <c r="C41" s="314"/>
      <c r="D41" s="265" t="s">
        <v>8</v>
      </c>
      <c r="E41" s="349">
        <f>408.3332*1.03</f>
        <v>420.58319599999999</v>
      </c>
      <c r="F41" s="349">
        <v>0</v>
      </c>
      <c r="G41" s="325">
        <f>N41/1000-E41-F41-H41-I41-J41-K41-L41</f>
        <v>1223.8997971664999</v>
      </c>
      <c r="H41" s="349">
        <v>144.614</v>
      </c>
      <c r="I41" s="349">
        <v>0</v>
      </c>
      <c r="J41" s="349">
        <v>0</v>
      </c>
      <c r="K41" s="349">
        <v>0</v>
      </c>
      <c r="L41" s="349">
        <v>50</v>
      </c>
      <c r="M41" s="346">
        <f t="shared" si="7"/>
        <v>1839.0969931664999</v>
      </c>
      <c r="N41" s="317">
        <f>'ES CT Electric Table A  '!J44</f>
        <v>1839096.9931665</v>
      </c>
      <c r="O41" s="318">
        <f t="shared" si="8"/>
        <v>0</v>
      </c>
    </row>
    <row r="42" spans="1:15" ht="20.25" customHeight="1" thickBot="1" x14ac:dyDescent="0.3">
      <c r="B42" s="314" t="s">
        <v>31</v>
      </c>
      <c r="C42" s="314"/>
      <c r="D42" s="265" t="s">
        <v>220</v>
      </c>
      <c r="E42" s="349">
        <v>0</v>
      </c>
      <c r="F42" s="349">
        <v>0</v>
      </c>
      <c r="G42" s="325">
        <f>N42/1000-E42-F42-H42-I42-J42-K42-L42</f>
        <v>512.00099999999998</v>
      </c>
      <c r="H42" s="349">
        <v>0</v>
      </c>
      <c r="I42" s="349">
        <v>0</v>
      </c>
      <c r="J42" s="349">
        <v>0</v>
      </c>
      <c r="K42" s="325">
        <v>0</v>
      </c>
      <c r="L42" s="346">
        <v>0</v>
      </c>
      <c r="M42" s="346">
        <f t="shared" si="7"/>
        <v>512.00099999999998</v>
      </c>
      <c r="N42" s="317">
        <f>'ES CT Electric Table A  '!J45</f>
        <v>512001</v>
      </c>
      <c r="O42" s="318">
        <f t="shared" si="8"/>
        <v>0</v>
      </c>
    </row>
    <row r="43" spans="1:15" ht="20.25" customHeight="1" thickBot="1" x14ac:dyDescent="0.3">
      <c r="B43" s="314" t="s">
        <v>31</v>
      </c>
      <c r="C43" s="314"/>
      <c r="D43" s="265" t="s">
        <v>223</v>
      </c>
      <c r="E43" s="349">
        <v>0</v>
      </c>
      <c r="F43" s="349">
        <v>0</v>
      </c>
      <c r="G43" s="325">
        <f>N43/1000-E43-F43-H43-I43-J43-K43-L43</f>
        <v>60</v>
      </c>
      <c r="H43" s="349">
        <v>0</v>
      </c>
      <c r="I43" s="349">
        <v>0</v>
      </c>
      <c r="J43" s="349">
        <v>0</v>
      </c>
      <c r="K43" s="325">
        <v>0</v>
      </c>
      <c r="L43" s="346">
        <v>0</v>
      </c>
      <c r="M43" s="346">
        <f t="shared" si="7"/>
        <v>60</v>
      </c>
      <c r="N43" s="317">
        <f>'ES CT Electric Table A  '!J46</f>
        <v>60000</v>
      </c>
      <c r="O43" s="318">
        <f t="shared" si="8"/>
        <v>0</v>
      </c>
    </row>
    <row r="44" spans="1:15" ht="20.25" customHeight="1" thickBot="1" x14ac:dyDescent="0.3">
      <c r="B44" s="314" t="s">
        <v>31</v>
      </c>
      <c r="C44" s="314"/>
      <c r="D44" s="561" t="s">
        <v>221</v>
      </c>
      <c r="E44" s="325">
        <v>0</v>
      </c>
      <c r="F44" s="325">
        <v>0</v>
      </c>
      <c r="G44" s="325">
        <v>0</v>
      </c>
      <c r="H44" s="325">
        <v>0</v>
      </c>
      <c r="I44" s="325">
        <v>0</v>
      </c>
      <c r="J44" s="325">
        <v>0</v>
      </c>
      <c r="K44" s="344">
        <f>N44/1000</f>
        <v>7813.0739999999996</v>
      </c>
      <c r="L44" s="346">
        <v>0</v>
      </c>
      <c r="M44" s="346">
        <f>SUM(E44:L44)</f>
        <v>7813.0739999999996</v>
      </c>
      <c r="N44" s="317">
        <f>'ES CT Electric Table A  '!J47</f>
        <v>7813074</v>
      </c>
      <c r="O44" s="318">
        <f t="shared" si="8"/>
        <v>0</v>
      </c>
    </row>
    <row r="45" spans="1:15" ht="23.25" customHeight="1" thickBot="1" x14ac:dyDescent="0.3">
      <c r="B45" s="314"/>
      <c r="C45" s="314"/>
      <c r="D45" s="340" t="s">
        <v>300</v>
      </c>
      <c r="E45" s="343">
        <f t="shared" ref="E45:M45" si="9">SUM(E36:E44)</f>
        <v>1930.2322206368522</v>
      </c>
      <c r="F45" s="343">
        <f t="shared" si="9"/>
        <v>5</v>
      </c>
      <c r="G45" s="343">
        <f t="shared" si="9"/>
        <v>4975.8604573256207</v>
      </c>
      <c r="H45" s="343">
        <f t="shared" si="9"/>
        <v>246.00430989999992</v>
      </c>
      <c r="I45" s="343">
        <f t="shared" si="9"/>
        <v>0</v>
      </c>
      <c r="J45" s="343">
        <f t="shared" si="9"/>
        <v>428.38002805218599</v>
      </c>
      <c r="K45" s="343">
        <f t="shared" si="9"/>
        <v>7825.0739999999996</v>
      </c>
      <c r="L45" s="343">
        <f t="shared" si="9"/>
        <v>64</v>
      </c>
      <c r="M45" s="343">
        <f t="shared" si="9"/>
        <v>15474.551015914658</v>
      </c>
      <c r="N45" s="317">
        <f>'ES CT Electric Table A  '!J48</f>
        <v>15474551.01591466</v>
      </c>
      <c r="O45" s="318">
        <f t="shared" si="8"/>
        <v>0</v>
      </c>
    </row>
    <row r="46" spans="1:15" ht="19.5" hidden="1" customHeight="1" thickBot="1" x14ac:dyDescent="0.3">
      <c r="B46" s="314"/>
      <c r="C46" s="314"/>
      <c r="D46" s="340" t="s">
        <v>100</v>
      </c>
      <c r="E46" s="350"/>
      <c r="F46" s="350"/>
      <c r="G46" s="350"/>
      <c r="H46" s="350"/>
      <c r="I46" s="350"/>
      <c r="J46" s="350"/>
      <c r="K46" s="350"/>
      <c r="L46" s="351"/>
      <c r="M46" s="350"/>
      <c r="N46" s="317"/>
      <c r="O46" s="318"/>
    </row>
    <row r="47" spans="1:15" ht="18" hidden="1" customHeight="1" thickBot="1" x14ac:dyDescent="0.3">
      <c r="A47" s="133"/>
      <c r="B47" s="314"/>
      <c r="C47" s="314"/>
      <c r="D47" s="352" t="s">
        <v>25</v>
      </c>
      <c r="E47" s="353">
        <f>E13+E25*0.8+E27*0.5+E26*0.5+E28*0.8+E31+E37*0.8+E21</f>
        <v>4371.7997442117876</v>
      </c>
      <c r="F47" s="353">
        <f t="shared" ref="F47:M47" si="10">F13+F25*0.8+F27*0.5+F26*0.5+F28*0.8+F31+F37*0.8+F21</f>
        <v>12</v>
      </c>
      <c r="G47" s="353">
        <f t="shared" si="10"/>
        <v>9870.9415000000008</v>
      </c>
      <c r="H47" s="353">
        <f t="shared" si="10"/>
        <v>324.94800000000004</v>
      </c>
      <c r="I47" s="353">
        <f t="shared" si="10"/>
        <v>53419.435727864533</v>
      </c>
      <c r="J47" s="353">
        <f t="shared" si="10"/>
        <v>3046.9010224417489</v>
      </c>
      <c r="K47" s="353">
        <f t="shared" si="10"/>
        <v>2871.7737829991297</v>
      </c>
      <c r="L47" s="353">
        <f t="shared" si="10"/>
        <v>100.3</v>
      </c>
      <c r="M47" s="353">
        <f t="shared" si="10"/>
        <v>74018.0997775172</v>
      </c>
      <c r="N47" s="317">
        <f>'ES CT Electric Table A  '!J50</f>
        <v>74018099.7775172</v>
      </c>
      <c r="O47" s="318">
        <f>N47/1000-M47</f>
        <v>0</v>
      </c>
    </row>
    <row r="48" spans="1:15" ht="18" hidden="1" customHeight="1" thickBot="1" x14ac:dyDescent="0.3">
      <c r="B48" s="312"/>
      <c r="C48" s="312"/>
      <c r="D48" s="352" t="s">
        <v>26</v>
      </c>
      <c r="E48" s="354">
        <f>E19+E25*0.2+E26*0.5+E27*0.5+E28*0.2+E32+E22+E37*0.2</f>
        <v>7267.6523270347761</v>
      </c>
      <c r="F48" s="354">
        <f t="shared" ref="F48:M48" si="11">F19+F25*0.2+F26*0.5+F27*0.5+F28*0.2+F32+F22+F37*0.2</f>
        <v>16</v>
      </c>
      <c r="G48" s="354">
        <f t="shared" si="11"/>
        <v>6140.441499999999</v>
      </c>
      <c r="H48" s="354">
        <f t="shared" si="11"/>
        <v>894.7284800000001</v>
      </c>
      <c r="I48" s="354">
        <f t="shared" si="11"/>
        <v>58427.770371720653</v>
      </c>
      <c r="J48" s="354">
        <f t="shared" si="11"/>
        <v>847.79000561043711</v>
      </c>
      <c r="K48" s="354">
        <f t="shared" si="11"/>
        <v>1960.2</v>
      </c>
      <c r="L48" s="354">
        <f t="shared" si="11"/>
        <v>151.69999999999999</v>
      </c>
      <c r="M48" s="354">
        <f t="shared" si="11"/>
        <v>75706.282684365869</v>
      </c>
      <c r="N48" s="317">
        <f>'ES CT Electric Table A  '!J51</f>
        <v>75706282.684365869</v>
      </c>
      <c r="O48" s="318">
        <f>N48/1000-M48</f>
        <v>0</v>
      </c>
    </row>
    <row r="49" spans="2:15" ht="18.75" hidden="1" customHeight="1" thickBot="1" x14ac:dyDescent="0.3">
      <c r="B49" s="332"/>
      <c r="C49" s="332"/>
      <c r="D49" s="352" t="s">
        <v>152</v>
      </c>
      <c r="E49" s="354">
        <f>E33+E36+E38+E39+E40+E41+E42+E43+E44</f>
        <v>1998.0514957987275</v>
      </c>
      <c r="F49" s="354">
        <f t="shared" ref="F49:M49" si="12">F33+F36+F38+F39+F40+F41+F42+F43+F44</f>
        <v>7</v>
      </c>
      <c r="G49" s="354">
        <f t="shared" si="12"/>
        <v>5063.2680414923634</v>
      </c>
      <c r="H49" s="354">
        <f t="shared" si="12"/>
        <v>246.00430989999992</v>
      </c>
      <c r="I49" s="354">
        <f t="shared" si="12"/>
        <v>0</v>
      </c>
      <c r="J49" s="354">
        <f t="shared" si="12"/>
        <v>0</v>
      </c>
      <c r="K49" s="354">
        <f t="shared" si="12"/>
        <v>7824.0739999999996</v>
      </c>
      <c r="L49" s="354">
        <f t="shared" si="12"/>
        <v>68</v>
      </c>
      <c r="M49" s="354">
        <f t="shared" si="12"/>
        <v>15206.397847191092</v>
      </c>
      <c r="N49" s="317">
        <f>'ES CT Electric Table A  '!J52</f>
        <v>15206397.847191092</v>
      </c>
      <c r="O49" s="318">
        <f>N49/1000-M49</f>
        <v>0</v>
      </c>
    </row>
    <row r="50" spans="2:15" ht="18.75" thickBot="1" x14ac:dyDescent="0.3">
      <c r="B50" s="314"/>
      <c r="C50" s="314"/>
      <c r="D50" s="340" t="s">
        <v>255</v>
      </c>
      <c r="E50" s="343">
        <f t="shared" ref="E50:L50" si="13">SUM(E47:E49)</f>
        <v>13637.503567045291</v>
      </c>
      <c r="F50" s="343">
        <f t="shared" si="13"/>
        <v>35</v>
      </c>
      <c r="G50" s="343">
        <f t="shared" si="13"/>
        <v>21074.651041492361</v>
      </c>
      <c r="H50" s="343">
        <f t="shared" si="13"/>
        <v>1465.6807899</v>
      </c>
      <c r="I50" s="343">
        <f t="shared" si="13"/>
        <v>111847.20609958519</v>
      </c>
      <c r="J50" s="343">
        <f t="shared" si="13"/>
        <v>3894.6910280521861</v>
      </c>
      <c r="K50" s="343">
        <f t="shared" si="13"/>
        <v>12656.047782999129</v>
      </c>
      <c r="L50" s="343">
        <f t="shared" si="13"/>
        <v>320</v>
      </c>
      <c r="M50" s="343">
        <f>SUM(M47:M49)</f>
        <v>164930.78030907415</v>
      </c>
      <c r="N50" s="317">
        <f>'ES CT Electric Table A  '!J53</f>
        <v>164930780.30907416</v>
      </c>
      <c r="O50" s="318">
        <f>N50/1000-M50</f>
        <v>0</v>
      </c>
    </row>
    <row r="51" spans="2:15" ht="20.25" x14ac:dyDescent="0.3">
      <c r="B51" s="135"/>
      <c r="C51" s="135"/>
      <c r="D51" s="136"/>
      <c r="E51" s="137" t="s">
        <v>13</v>
      </c>
      <c r="F51" s="138"/>
      <c r="G51" s="138" t="s">
        <v>13</v>
      </c>
      <c r="H51" s="132"/>
      <c r="I51" s="132"/>
      <c r="J51" s="132"/>
      <c r="K51" s="132"/>
      <c r="L51" s="132"/>
      <c r="M51" s="132"/>
    </row>
    <row r="52" spans="2:15" ht="20.25" x14ac:dyDescent="0.3">
      <c r="B52" s="135"/>
      <c r="C52" s="135"/>
      <c r="D52" s="139" t="s">
        <v>13</v>
      </c>
      <c r="E52" s="138"/>
      <c r="F52" s="138"/>
      <c r="G52" s="138"/>
      <c r="H52" s="132"/>
      <c r="I52" s="132"/>
      <c r="J52" s="132"/>
      <c r="K52" s="132"/>
      <c r="L52" s="132"/>
      <c r="M52" s="140"/>
      <c r="N52" s="133">
        <f>N13+N19+N29+N34+N23+N45</f>
        <v>164930780.30907416</v>
      </c>
    </row>
    <row r="53" spans="2:15" x14ac:dyDescent="0.2">
      <c r="B53" s="141"/>
      <c r="C53" s="141"/>
      <c r="D53" s="142"/>
    </row>
    <row r="54" spans="2:15" x14ac:dyDescent="0.2">
      <c r="B54" s="141"/>
      <c r="C54" s="141"/>
      <c r="D54" s="145"/>
    </row>
    <row r="55" spans="2:15" x14ac:dyDescent="0.2">
      <c r="B55" s="141"/>
      <c r="C55" s="141"/>
    </row>
    <row r="56" spans="2:15" x14ac:dyDescent="0.2">
      <c r="B56" s="141"/>
      <c r="C56" s="141"/>
      <c r="D56" s="134"/>
      <c r="F56" s="143"/>
      <c r="G56" s="143"/>
    </row>
    <row r="57" spans="2:15" x14ac:dyDescent="0.2">
      <c r="B57" s="141"/>
      <c r="C57" s="141"/>
      <c r="D57" s="134"/>
      <c r="F57" s="143"/>
      <c r="G57" s="143"/>
    </row>
    <row r="58" spans="2:15" ht="20.25" x14ac:dyDescent="0.3">
      <c r="B58" s="141"/>
      <c r="C58" s="141"/>
      <c r="D58" s="134"/>
      <c r="E58" s="177"/>
      <c r="F58" s="143"/>
      <c r="G58" s="143"/>
    </row>
    <row r="60" spans="2:15" x14ac:dyDescent="0.2">
      <c r="D60" s="134"/>
      <c r="O60" s="127" t="s">
        <v>13</v>
      </c>
    </row>
    <row r="61" spans="2:15" x14ac:dyDescent="0.2">
      <c r="D61" s="134"/>
    </row>
    <row r="62" spans="2:15" x14ac:dyDescent="0.2">
      <c r="D62" s="134"/>
    </row>
    <row r="63" spans="2:15" x14ac:dyDescent="0.2">
      <c r="D63" s="134"/>
    </row>
    <row r="64" spans="2:15" x14ac:dyDescent="0.2">
      <c r="D64" s="134"/>
    </row>
    <row r="65" spans="4:15" x14ac:dyDescent="0.2">
      <c r="D65" s="134"/>
      <c r="O65" s="127" t="s">
        <v>13</v>
      </c>
    </row>
    <row r="66" spans="4:15" x14ac:dyDescent="0.2">
      <c r="D66" s="134"/>
      <c r="O66" s="127" t="s">
        <v>13</v>
      </c>
    </row>
  </sheetData>
  <mergeCells count="8">
    <mergeCell ref="D30:M30"/>
    <mergeCell ref="D35:M35"/>
    <mergeCell ref="D2:M2"/>
    <mergeCell ref="D3:M3"/>
    <mergeCell ref="D6:M6"/>
    <mergeCell ref="D14:M14"/>
    <mergeCell ref="D20:M20"/>
    <mergeCell ref="D24:M24"/>
  </mergeCells>
  <printOptions horizontalCentered="1" verticalCentered="1"/>
  <pageMargins left="0.43" right="0.31" top="0.2" bottom="0.43" header="0.17" footer="0.18"/>
  <pageSetup scale="49" orientation="landscape"/>
  <headerFooter alignWithMargins="0">
    <oddFooter xml:space="preserve">&amp;C&amp;14
Totals may vary due to rounding&amp;12
</odd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53A5-BAF8-40DC-B888-A467C2EBBDEF}">
  <sheetPr>
    <tabColor theme="9" tint="0.39997558519241921"/>
    <pageSetUpPr fitToPage="1"/>
  </sheetPr>
  <dimension ref="B2:I48"/>
  <sheetViews>
    <sheetView showGridLines="0" zoomScale="90" zoomScaleNormal="90" workbookViewId="0">
      <selection activeCell="K32" sqref="K32"/>
    </sheetView>
  </sheetViews>
  <sheetFormatPr defaultRowHeight="12.75" x14ac:dyDescent="0.2"/>
  <cols>
    <col min="2" max="2" width="35.28515625" customWidth="1"/>
    <col min="3" max="3" width="11.42578125" customWidth="1"/>
    <col min="4" max="4" width="5.5703125" customWidth="1"/>
    <col min="5" max="5" width="17.42578125" customWidth="1"/>
    <col min="6" max="6" width="22.7109375" customWidth="1"/>
    <col min="7" max="7" width="19.140625" customWidth="1"/>
  </cols>
  <sheetData>
    <row r="2" spans="2:9" ht="23.25" x14ac:dyDescent="0.35">
      <c r="B2" s="869" t="s">
        <v>176</v>
      </c>
      <c r="C2" s="869"/>
      <c r="D2" s="869"/>
      <c r="E2" s="869"/>
      <c r="F2" s="869"/>
      <c r="G2" s="18"/>
    </row>
    <row r="3" spans="2:9" ht="23.25" x14ac:dyDescent="0.35">
      <c r="B3" s="869" t="s">
        <v>406</v>
      </c>
      <c r="C3" s="869"/>
      <c r="D3" s="869"/>
      <c r="E3" s="869"/>
      <c r="F3" s="869"/>
      <c r="G3" s="18"/>
    </row>
    <row r="4" spans="2:9" ht="23.25" x14ac:dyDescent="0.35">
      <c r="B4" s="869" t="s">
        <v>209</v>
      </c>
      <c r="C4" s="869"/>
      <c r="D4" s="869"/>
      <c r="E4" s="869"/>
      <c r="F4" s="869"/>
      <c r="G4" s="18"/>
    </row>
    <row r="5" spans="2:9" ht="23.25" x14ac:dyDescent="0.35">
      <c r="B5" s="869" t="s">
        <v>128</v>
      </c>
      <c r="C5" s="869"/>
      <c r="D5" s="869"/>
      <c r="E5" s="869"/>
      <c r="F5" s="869"/>
      <c r="G5" s="18"/>
    </row>
    <row r="16" spans="2:9" x14ac:dyDescent="0.2">
      <c r="I16" s="90"/>
    </row>
    <row r="34" spans="2:5" ht="36.75" customHeight="1" x14ac:dyDescent="0.25">
      <c r="B34" s="517" t="s">
        <v>36</v>
      </c>
      <c r="C34" s="942" t="s">
        <v>10</v>
      </c>
      <c r="D34" s="943"/>
      <c r="E34" s="515" t="s">
        <v>304</v>
      </c>
    </row>
    <row r="35" spans="2:5" ht="16.5" x14ac:dyDescent="0.25">
      <c r="B35" s="939"/>
      <c r="C35" s="940"/>
      <c r="D35" s="940"/>
      <c r="E35" s="941"/>
    </row>
    <row r="36" spans="2:5" ht="21" customHeight="1" x14ac:dyDescent="0.25">
      <c r="B36" s="518" t="s">
        <v>157</v>
      </c>
      <c r="C36" s="944">
        <f>'ES CT Electric 2022 Table C '!E50</f>
        <v>13637.503567045291</v>
      </c>
      <c r="D36" s="945"/>
      <c r="E36" s="480">
        <f t="shared" ref="E36:E42" si="0">SUM(C36/$C$45)</f>
        <v>8.268622473918523E-2</v>
      </c>
    </row>
    <row r="37" spans="2:5" ht="18.75" customHeight="1" x14ac:dyDescent="0.25">
      <c r="B37" s="518" t="s">
        <v>37</v>
      </c>
      <c r="C37" s="944">
        <f>'ES CT Electric 2022 Table C '!F50</f>
        <v>35</v>
      </c>
      <c r="D37" s="945"/>
      <c r="E37" s="480">
        <f t="shared" si="0"/>
        <v>2.1221023713348898E-4</v>
      </c>
    </row>
    <row r="38" spans="2:5" ht="21" customHeight="1" x14ac:dyDescent="0.25">
      <c r="B38" s="518" t="s">
        <v>14</v>
      </c>
      <c r="C38" s="944">
        <f>'ES CT Electric 2022 Table C '!G50</f>
        <v>21074.651041492361</v>
      </c>
      <c r="D38" s="945"/>
      <c r="E38" s="480">
        <f t="shared" si="0"/>
        <v>0.12777876271487498</v>
      </c>
    </row>
    <row r="39" spans="2:5" ht="20.25" customHeight="1" x14ac:dyDescent="0.25">
      <c r="B39" s="518" t="s">
        <v>61</v>
      </c>
      <c r="C39" s="944">
        <f>'ES CT Electric 2022 Table C '!H50</f>
        <v>1465.6807899</v>
      </c>
      <c r="D39" s="945"/>
      <c r="E39" s="480">
        <f t="shared" si="0"/>
        <v>8.8866419424765263E-3</v>
      </c>
    </row>
    <row r="40" spans="2:5" ht="21" customHeight="1" x14ac:dyDescent="0.25">
      <c r="B40" s="518" t="s">
        <v>12</v>
      </c>
      <c r="C40" s="944">
        <f>'ES CT Electric 2022 Table C '!I50</f>
        <v>111847.20609958519</v>
      </c>
      <c r="D40" s="945"/>
      <c r="E40" s="480">
        <f t="shared" si="0"/>
        <v>0.67814634654603401</v>
      </c>
    </row>
    <row r="41" spans="2:5" ht="24" customHeight="1" x14ac:dyDescent="0.25">
      <c r="B41" s="518" t="s">
        <v>33</v>
      </c>
      <c r="C41" s="944">
        <f>'ES CT Electric 2022 Table C '!J50</f>
        <v>3894.6910280521861</v>
      </c>
      <c r="D41" s="945"/>
      <c r="E41" s="480">
        <f t="shared" si="0"/>
        <v>2.3614094474989324E-2</v>
      </c>
    </row>
    <row r="42" spans="2:5" ht="21" customHeight="1" x14ac:dyDescent="0.25">
      <c r="B42" s="518" t="s">
        <v>38</v>
      </c>
      <c r="C42" s="944">
        <f>'ES CT Electric 2022 Table C '!K50</f>
        <v>12656.047782999129</v>
      </c>
      <c r="D42" s="945"/>
      <c r="E42" s="480">
        <f t="shared" si="0"/>
        <v>7.6735511462943218E-2</v>
      </c>
    </row>
    <row r="43" spans="2:5" ht="18.75" x14ac:dyDescent="0.4">
      <c r="B43" s="518" t="s">
        <v>34</v>
      </c>
      <c r="C43" s="946">
        <f>'ES CT Electric 2022 Table C '!L50</f>
        <v>320</v>
      </c>
      <c r="D43" s="947"/>
      <c r="E43" s="516">
        <f>SUM(C43/$C$45)</f>
        <v>1.9402078823633278E-3</v>
      </c>
    </row>
    <row r="44" spans="2:5" ht="18.75" customHeight="1" x14ac:dyDescent="0.25">
      <c r="B44" s="865"/>
      <c r="C44" s="866"/>
      <c r="D44" s="866"/>
      <c r="E44" s="867"/>
    </row>
    <row r="45" spans="2:5" ht="16.5" x14ac:dyDescent="0.25">
      <c r="B45" s="512" t="s">
        <v>9</v>
      </c>
      <c r="C45" s="948">
        <f>SUM(C36:C43)</f>
        <v>164930.78030907415</v>
      </c>
      <c r="D45" s="949"/>
      <c r="E45" s="484">
        <f>SUM(E36:E43)</f>
        <v>1</v>
      </c>
    </row>
    <row r="46" spans="2:5" ht="18" x14ac:dyDescent="0.25">
      <c r="B46" s="261"/>
      <c r="C46" s="261"/>
      <c r="D46" s="261"/>
      <c r="E46" s="261"/>
    </row>
    <row r="47" spans="2:5" ht="18" x14ac:dyDescent="0.25">
      <c r="B47" s="261"/>
      <c r="C47" s="261"/>
      <c r="D47" s="261"/>
      <c r="E47" s="261"/>
    </row>
    <row r="48" spans="2:5" ht="18" x14ac:dyDescent="0.25">
      <c r="B48" s="261"/>
      <c r="C48" s="261"/>
      <c r="D48" s="261"/>
      <c r="E48" s="261"/>
    </row>
  </sheetData>
  <mergeCells count="16">
    <mergeCell ref="B35:E35"/>
    <mergeCell ref="B2:F2"/>
    <mergeCell ref="B3:F3"/>
    <mergeCell ref="B4:F4"/>
    <mergeCell ref="B5:F5"/>
    <mergeCell ref="C34:D34"/>
    <mergeCell ref="C42:D42"/>
    <mergeCell ref="C43:D43"/>
    <mergeCell ref="B44:E44"/>
    <mergeCell ref="C45:D45"/>
    <mergeCell ref="C36:D36"/>
    <mergeCell ref="C37:D37"/>
    <mergeCell ref="C38:D38"/>
    <mergeCell ref="C39:D39"/>
    <mergeCell ref="C40:D40"/>
    <mergeCell ref="C41:D41"/>
  </mergeCells>
  <pageMargins left="0.75" right="0.75" top="1" bottom="1" header="0.5" footer="0.5"/>
  <pageSetup scale="90" orientation="portrait"/>
  <headerFooter alignWithMargins="0">
    <oddHeader xml:space="preserve">&amp;R
</oddHeader>
    <oddFooter xml:space="preserve">&amp;CTotals may vary due to rounding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B34B-6737-4D75-8FC1-F23122153F97}">
  <sheetPr>
    <tabColor theme="9" tint="0.39997558519241921"/>
    <pageSetUpPr fitToPage="1"/>
  </sheetPr>
  <dimension ref="A2:BR66"/>
  <sheetViews>
    <sheetView showGridLines="0" topLeftCell="C1" zoomScale="90" zoomScaleNormal="90" workbookViewId="0">
      <pane ySplit="5" topLeftCell="A6" activePane="bottomLeft" state="frozen"/>
      <selection activeCell="C1" sqref="C1"/>
      <selection pane="bottomLeft" activeCell="F39" sqref="F39"/>
    </sheetView>
  </sheetViews>
  <sheetFormatPr defaultColWidth="9.140625" defaultRowHeight="12.75" x14ac:dyDescent="0.2"/>
  <cols>
    <col min="1" max="1" width="4.85546875" style="126" hidden="1" customWidth="1"/>
    <col min="2" max="2" width="7" style="126" hidden="1" customWidth="1"/>
    <col min="3" max="3" width="7" style="126" customWidth="1"/>
    <col min="4" max="4" width="63.5703125" style="126" customWidth="1"/>
    <col min="5" max="5" width="13.140625" style="143" bestFit="1" customWidth="1"/>
    <col min="6" max="6" width="15.7109375" style="144" customWidth="1"/>
    <col min="7" max="7" width="18.5703125" style="144" customWidth="1"/>
    <col min="8" max="8" width="16.42578125" style="126" bestFit="1" customWidth="1"/>
    <col min="9" max="9" width="15.7109375" style="126" bestFit="1" customWidth="1"/>
    <col min="10" max="10" width="15.42578125" style="126" bestFit="1" customWidth="1"/>
    <col min="11" max="11" width="19.85546875" style="126" bestFit="1" customWidth="1"/>
    <col min="12" max="12" width="21.140625" style="126" customWidth="1"/>
    <col min="13" max="13" width="14.85546875" style="126" bestFit="1" customWidth="1"/>
    <col min="14" max="14" width="20.42578125" style="126" bestFit="1" customWidth="1"/>
    <col min="15" max="15" width="21.5703125" style="127" customWidth="1"/>
    <col min="16" max="16" width="13.140625" style="126" customWidth="1"/>
    <col min="17" max="17" width="12.140625" style="126" customWidth="1"/>
    <col min="18" max="18" width="12.5703125" style="126" customWidth="1"/>
    <col min="19" max="19" width="11.7109375" style="126" customWidth="1"/>
    <col min="20" max="20" width="9.140625" style="126" customWidth="1"/>
    <col min="21" max="21" width="19.42578125" style="126" customWidth="1"/>
    <col min="22" max="22" width="18" style="126" customWidth="1"/>
    <col min="23" max="37" width="9.140625" style="126" customWidth="1"/>
    <col min="38" max="16384" width="9.140625" style="126"/>
  </cols>
  <sheetData>
    <row r="2" spans="2:70" s="125" customFormat="1" ht="27.75" customHeight="1" x14ac:dyDescent="0.45">
      <c r="B2" s="118"/>
      <c r="C2" s="118"/>
      <c r="D2" s="937" t="s">
        <v>171</v>
      </c>
      <c r="E2" s="937"/>
      <c r="F2" s="937"/>
      <c r="G2" s="937"/>
      <c r="H2" s="937"/>
      <c r="I2" s="937"/>
      <c r="J2" s="937"/>
      <c r="K2" s="937"/>
      <c r="L2" s="937"/>
      <c r="M2" s="937"/>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119"/>
      <c r="BK2" s="119"/>
      <c r="BL2" s="119"/>
      <c r="BM2" s="119"/>
      <c r="BN2" s="120"/>
      <c r="BO2" s="121" t="s">
        <v>156</v>
      </c>
      <c r="BP2" s="122">
        <v>3000428</v>
      </c>
      <c r="BQ2" s="123"/>
      <c r="BR2" s="124"/>
    </row>
    <row r="3" spans="2:70" ht="23.25" x14ac:dyDescent="0.35">
      <c r="D3" s="937" t="s">
        <v>407</v>
      </c>
      <c r="E3" s="937"/>
      <c r="F3" s="937"/>
      <c r="G3" s="937"/>
      <c r="H3" s="937"/>
      <c r="I3" s="937"/>
      <c r="J3" s="937"/>
      <c r="K3" s="937"/>
      <c r="L3" s="937"/>
      <c r="M3" s="937"/>
    </row>
    <row r="4" spans="2:70" ht="16.5" customHeight="1" thickBot="1" x14ac:dyDescent="0.3">
      <c r="D4" s="128"/>
      <c r="E4" s="129"/>
      <c r="F4" s="130"/>
      <c r="G4" s="130"/>
      <c r="H4" s="131"/>
      <c r="I4" s="131"/>
      <c r="J4" s="131"/>
      <c r="K4" s="131"/>
      <c r="L4" s="131"/>
      <c r="M4" s="131"/>
    </row>
    <row r="5" spans="2:70" ht="55.5" thickBot="1" x14ac:dyDescent="0.35">
      <c r="B5" s="132"/>
      <c r="C5" s="132"/>
      <c r="D5" s="333" t="s">
        <v>301</v>
      </c>
      <c r="E5" s="334" t="s">
        <v>157</v>
      </c>
      <c r="F5" s="334" t="s">
        <v>32</v>
      </c>
      <c r="G5" s="334" t="s">
        <v>14</v>
      </c>
      <c r="H5" s="334" t="s">
        <v>61</v>
      </c>
      <c r="I5" s="334" t="s">
        <v>12</v>
      </c>
      <c r="J5" s="334" t="s">
        <v>33</v>
      </c>
      <c r="K5" s="334" t="s">
        <v>38</v>
      </c>
      <c r="L5" s="334" t="s">
        <v>34</v>
      </c>
      <c r="M5" s="334" t="s">
        <v>35</v>
      </c>
      <c r="Q5" s="182"/>
      <c r="R5" s="180"/>
      <c r="S5" s="180"/>
      <c r="U5" s="182"/>
      <c r="V5" s="180"/>
    </row>
    <row r="6" spans="2:70" ht="21" thickBot="1" x14ac:dyDescent="0.35">
      <c r="B6" s="132"/>
      <c r="C6" s="132"/>
      <c r="D6" s="935" t="s">
        <v>15</v>
      </c>
      <c r="E6" s="935"/>
      <c r="F6" s="935"/>
      <c r="G6" s="935"/>
      <c r="H6" s="935"/>
      <c r="I6" s="935"/>
      <c r="J6" s="935"/>
      <c r="K6" s="935"/>
      <c r="L6" s="935"/>
      <c r="M6" s="935"/>
      <c r="Q6" s="180"/>
      <c r="R6" s="180"/>
      <c r="S6" s="180"/>
    </row>
    <row r="7" spans="2:70" ht="19.5" thickBot="1" x14ac:dyDescent="0.35">
      <c r="B7" s="314" t="s">
        <v>29</v>
      </c>
      <c r="C7" s="314"/>
      <c r="D7" s="335" t="s">
        <v>114</v>
      </c>
      <c r="E7" s="336">
        <f>140.6421262444*1.03*1.03</f>
        <v>149.20723173268397</v>
      </c>
      <c r="F7" s="336">
        <v>1</v>
      </c>
      <c r="G7" s="337">
        <f>800+400-300</f>
        <v>900</v>
      </c>
      <c r="H7" s="336">
        <v>27</v>
      </c>
      <c r="I7" s="336">
        <f>N7/1000-E7-F7-G7-H7-J7-K7-L7</f>
        <v>1895.6927682673163</v>
      </c>
      <c r="J7" s="337">
        <f>656.1-100</f>
        <v>556.1</v>
      </c>
      <c r="K7" s="336">
        <v>20</v>
      </c>
      <c r="L7" s="336">
        <v>9</v>
      </c>
      <c r="M7" s="338">
        <f t="shared" ref="M7:M12" si="0">SUM(E7:L7)</f>
        <v>3558.0000000000005</v>
      </c>
      <c r="N7" s="317">
        <f>'ES CT Electric Table A  '!N10</f>
        <v>3558000</v>
      </c>
      <c r="O7" s="318">
        <f t="shared" ref="O7:O13" si="1">N7/1000-M7</f>
        <v>0</v>
      </c>
      <c r="Q7" s="181"/>
      <c r="R7" s="181"/>
      <c r="S7" s="181"/>
      <c r="U7" s="183"/>
      <c r="V7" s="183"/>
    </row>
    <row r="8" spans="2:70" s="134" customFormat="1" ht="19.5" thickBot="1" x14ac:dyDescent="0.35">
      <c r="B8" s="314" t="s">
        <v>29</v>
      </c>
      <c r="C8" s="314"/>
      <c r="D8" s="335" t="s">
        <v>115</v>
      </c>
      <c r="E8" s="325">
        <f>186.73816807792*1.03*1.03</f>
        <v>198.11052251386533</v>
      </c>
      <c r="F8" s="325">
        <v>1</v>
      </c>
      <c r="G8" s="325">
        <f>100+100</f>
        <v>200</v>
      </c>
      <c r="H8" s="325">
        <v>2</v>
      </c>
      <c r="I8" s="336">
        <f>N8/1000-E8-F8-G8-H8-J8-K8-L8</f>
        <v>3000.4214774861348</v>
      </c>
      <c r="J8" s="325">
        <f>43.2+35</f>
        <v>78.2</v>
      </c>
      <c r="K8" s="325">
        <v>17.100000000000001</v>
      </c>
      <c r="L8" s="325">
        <v>9</v>
      </c>
      <c r="M8" s="338">
        <f t="shared" si="0"/>
        <v>3505.8319999999999</v>
      </c>
      <c r="N8" s="317">
        <f>'ES CT Electric Table A  '!N11</f>
        <v>3505832</v>
      </c>
      <c r="O8" s="318">
        <f t="shared" si="1"/>
        <v>0</v>
      </c>
      <c r="Q8" s="181"/>
      <c r="R8" s="181"/>
      <c r="S8" s="181"/>
      <c r="U8" s="183"/>
      <c r="V8" s="183"/>
    </row>
    <row r="9" spans="2:70" ht="19.5" thickBot="1" x14ac:dyDescent="0.35">
      <c r="B9" s="320" t="s">
        <v>29</v>
      </c>
      <c r="C9" s="320"/>
      <c r="D9" s="335" t="s">
        <v>519</v>
      </c>
      <c r="E9" s="325">
        <f>1508.1497667088*1.03*1.03</f>
        <v>1599.996087501366</v>
      </c>
      <c r="F9" s="336">
        <v>4</v>
      </c>
      <c r="G9" s="336">
        <f>1095.732+50+2000</f>
        <v>3145.732</v>
      </c>
      <c r="H9" s="325">
        <v>100.148</v>
      </c>
      <c r="I9" s="336">
        <f>N9/1000-E9-F9-G9-H9-J9-K9-L9</f>
        <v>14940.697612498634</v>
      </c>
      <c r="J9" s="336">
        <v>750</v>
      </c>
      <c r="K9" s="336">
        <v>40</v>
      </c>
      <c r="L9" s="336">
        <v>20</v>
      </c>
      <c r="M9" s="339">
        <f t="shared" si="0"/>
        <v>20600.573700000001</v>
      </c>
      <c r="N9" s="317">
        <f>'ES CT Electric Table A  '!N12</f>
        <v>20600573.699999999</v>
      </c>
      <c r="O9" s="318">
        <f t="shared" si="1"/>
        <v>0</v>
      </c>
      <c r="Q9" s="181"/>
      <c r="R9" s="181"/>
      <c r="S9" s="181"/>
      <c r="U9" s="183"/>
      <c r="V9" s="183"/>
    </row>
    <row r="10" spans="2:70" ht="19.5" thickBot="1" x14ac:dyDescent="0.35">
      <c r="B10" s="320" t="s">
        <v>29</v>
      </c>
      <c r="C10" s="320"/>
      <c r="D10" s="335" t="s">
        <v>520</v>
      </c>
      <c r="E10" s="325">
        <f>118.931215235328*1.03*1.03</f>
        <v>126.17412624315948</v>
      </c>
      <c r="F10" s="336">
        <v>1</v>
      </c>
      <c r="G10" s="336">
        <f>500+700-6</f>
        <v>1194</v>
      </c>
      <c r="H10" s="325">
        <v>20</v>
      </c>
      <c r="I10" s="336">
        <f>N10/1000-E10-F10-G10-H10-J10-K10-L10</f>
        <v>12260.495873756841</v>
      </c>
      <c r="J10" s="336">
        <f>191+100</f>
        <v>291</v>
      </c>
      <c r="K10" s="336">
        <v>18</v>
      </c>
      <c r="L10" s="336">
        <v>18</v>
      </c>
      <c r="M10" s="339">
        <f t="shared" si="0"/>
        <v>13928.67</v>
      </c>
      <c r="N10" s="317">
        <f>'ES CT Electric Table A  '!N13</f>
        <v>13928670</v>
      </c>
      <c r="O10" s="318">
        <f t="shared" si="1"/>
        <v>0</v>
      </c>
      <c r="Q10" s="181"/>
      <c r="R10" s="181"/>
      <c r="S10" s="181"/>
      <c r="U10" s="183"/>
      <c r="V10" s="183"/>
    </row>
    <row r="11" spans="2:70" ht="19.5" thickBot="1" x14ac:dyDescent="0.35">
      <c r="B11" s="314" t="s">
        <v>29</v>
      </c>
      <c r="C11" s="314"/>
      <c r="D11" s="335" t="s">
        <v>276</v>
      </c>
      <c r="E11" s="325">
        <f>1642.24284432752*1.03*1.03</f>
        <v>1742.2554335470661</v>
      </c>
      <c r="F11" s="336">
        <v>5</v>
      </c>
      <c r="G11" s="336">
        <f>600+50+600</f>
        <v>1250</v>
      </c>
      <c r="H11" s="325">
        <v>163</v>
      </c>
      <c r="I11" s="336">
        <f>N11/1000-E11-F11-G11-H11-J11-K11-L11</f>
        <v>12013.515838529254</v>
      </c>
      <c r="J11" s="336">
        <v>750</v>
      </c>
      <c r="K11" s="336">
        <v>25.873727923679802</v>
      </c>
      <c r="L11" s="336">
        <v>34</v>
      </c>
      <c r="M11" s="339">
        <f t="shared" si="0"/>
        <v>15983.644999999999</v>
      </c>
      <c r="N11" s="317">
        <f>'ES CT Electric Table A  '!N14</f>
        <v>15983645</v>
      </c>
      <c r="O11" s="318">
        <f t="shared" si="1"/>
        <v>0</v>
      </c>
      <c r="Q11" s="181"/>
      <c r="R11" s="181"/>
      <c r="S11" s="181"/>
      <c r="U11" s="183"/>
      <c r="V11" s="183"/>
    </row>
    <row r="12" spans="2:70" ht="19.5" thickBot="1" x14ac:dyDescent="0.35">
      <c r="B12" s="314" t="s">
        <v>29</v>
      </c>
      <c r="C12" s="314"/>
      <c r="D12" s="335" t="s">
        <v>140</v>
      </c>
      <c r="E12" s="325">
        <v>0</v>
      </c>
      <c r="F12" s="336">
        <v>0</v>
      </c>
      <c r="G12" s="337">
        <f>SUM(N12/1000-E12-F12-H12-I12-J12-K12-L12)</f>
        <v>90</v>
      </c>
      <c r="H12" s="325">
        <v>0</v>
      </c>
      <c r="I12" s="325">
        <v>0</v>
      </c>
      <c r="J12" s="336">
        <v>0</v>
      </c>
      <c r="K12" s="336">
        <v>0</v>
      </c>
      <c r="L12" s="336">
        <v>0</v>
      </c>
      <c r="M12" s="339">
        <f t="shared" si="0"/>
        <v>90</v>
      </c>
      <c r="N12" s="317">
        <f>'ES CT Electric Table A  '!N15</f>
        <v>90000</v>
      </c>
      <c r="O12" s="318">
        <f t="shared" si="1"/>
        <v>0</v>
      </c>
      <c r="Q12" s="181"/>
      <c r="R12" s="181"/>
      <c r="S12" s="181"/>
      <c r="U12" s="183"/>
      <c r="V12" s="183"/>
    </row>
    <row r="13" spans="2:70" ht="19.5" thickBot="1" x14ac:dyDescent="0.35">
      <c r="B13" s="320"/>
      <c r="C13" s="320"/>
      <c r="D13" s="340" t="s">
        <v>291</v>
      </c>
      <c r="E13" s="341">
        <f>SUM(E7:E12)</f>
        <v>3815.7434015381414</v>
      </c>
      <c r="F13" s="341">
        <f t="shared" ref="F13:M13" si="2">SUM(F7:F12)</f>
        <v>12</v>
      </c>
      <c r="G13" s="341">
        <f t="shared" si="2"/>
        <v>6779.732</v>
      </c>
      <c r="H13" s="341">
        <f t="shared" si="2"/>
        <v>312.14800000000002</v>
      </c>
      <c r="I13" s="341">
        <f t="shared" si="2"/>
        <v>44110.823570538181</v>
      </c>
      <c r="J13" s="341">
        <f t="shared" si="2"/>
        <v>2425.3000000000002</v>
      </c>
      <c r="K13" s="341">
        <f t="shared" si="2"/>
        <v>120.9737279236798</v>
      </c>
      <c r="L13" s="341">
        <f t="shared" si="2"/>
        <v>90</v>
      </c>
      <c r="M13" s="341">
        <f t="shared" si="2"/>
        <v>57666.720699999998</v>
      </c>
      <c r="N13" s="317">
        <f>'ES CT Electric Table A  '!N16</f>
        <v>57666720.700000003</v>
      </c>
      <c r="O13" s="318">
        <f t="shared" si="1"/>
        <v>0</v>
      </c>
      <c r="Q13" s="181"/>
      <c r="R13" s="181"/>
      <c r="S13" s="181"/>
      <c r="U13" s="180"/>
      <c r="V13" s="180"/>
    </row>
    <row r="14" spans="2:70" ht="19.5" thickBot="1" x14ac:dyDescent="0.35">
      <c r="B14" s="320"/>
      <c r="C14" s="320"/>
      <c r="D14" s="936" t="s">
        <v>16</v>
      </c>
      <c r="E14" s="936"/>
      <c r="F14" s="936"/>
      <c r="G14" s="936"/>
      <c r="H14" s="936"/>
      <c r="I14" s="936"/>
      <c r="J14" s="936"/>
      <c r="K14" s="936"/>
      <c r="L14" s="936"/>
      <c r="M14" s="936"/>
      <c r="N14" s="317"/>
      <c r="O14" s="313"/>
      <c r="Q14" s="181"/>
      <c r="R14" s="181"/>
      <c r="S14" s="181"/>
      <c r="U14" s="180"/>
      <c r="V14" s="180"/>
    </row>
    <row r="15" spans="2:70" ht="19.5" thickBot="1" x14ac:dyDescent="0.35">
      <c r="B15" s="314" t="s">
        <v>30</v>
      </c>
      <c r="C15" s="314"/>
      <c r="D15" s="322" t="s">
        <v>116</v>
      </c>
      <c r="E15" s="323">
        <f>1007.21299305998*1.03*1.03</f>
        <v>1068.5522643373326</v>
      </c>
      <c r="F15" s="323">
        <v>4</v>
      </c>
      <c r="G15" s="324">
        <v>600.76199999999994</v>
      </c>
      <c r="H15" s="325">
        <v>152.33856</v>
      </c>
      <c r="I15" s="315">
        <f>N15/1000-E15-F15-G15-H15-J15-K15-L15</f>
        <v>9531.6966509143658</v>
      </c>
      <c r="J15" s="323">
        <v>100</v>
      </c>
      <c r="K15" s="323">
        <v>27</v>
      </c>
      <c r="L15" s="323">
        <v>10</v>
      </c>
      <c r="M15" s="316">
        <f>SUM(E15:L15)</f>
        <v>11494.349475251698</v>
      </c>
      <c r="N15" s="317">
        <f>'ES CT Electric Table A  '!N18</f>
        <v>11494349.475251701</v>
      </c>
      <c r="O15" s="326">
        <f>N15/1000-M15</f>
        <v>0</v>
      </c>
      <c r="Q15" s="181"/>
      <c r="R15" s="181"/>
      <c r="S15" s="181"/>
      <c r="U15" s="183"/>
      <c r="V15" s="183"/>
    </row>
    <row r="16" spans="2:70" ht="19.5" thickBot="1" x14ac:dyDescent="0.35">
      <c r="B16" s="314" t="s">
        <v>30</v>
      </c>
      <c r="C16" s="314"/>
      <c r="D16" s="335" t="s">
        <v>127</v>
      </c>
      <c r="E16" s="325">
        <f>3971.62715061551*1.03*1.03</f>
        <v>4213.4992440879942</v>
      </c>
      <c r="F16" s="325">
        <v>5</v>
      </c>
      <c r="G16" s="344">
        <f>1900+300+100</f>
        <v>2300</v>
      </c>
      <c r="H16" s="325">
        <v>588.18992000000003</v>
      </c>
      <c r="I16" s="336">
        <f>N16/1000-E16-F16-G16-H16-J16-K16-L16</f>
        <v>25307.198459577605</v>
      </c>
      <c r="J16" s="325">
        <v>250</v>
      </c>
      <c r="K16" s="325">
        <v>150</v>
      </c>
      <c r="L16" s="344">
        <v>90</v>
      </c>
      <c r="M16" s="338">
        <f>SUM(E16:L16)</f>
        <v>32903.8876236656</v>
      </c>
      <c r="N16" s="317">
        <f>'ES CT Electric Table A  '!N19</f>
        <v>32903887.623665601</v>
      </c>
      <c r="O16" s="326">
        <f>N16/1000-M16</f>
        <v>0</v>
      </c>
      <c r="Q16" s="181"/>
      <c r="R16" s="181"/>
      <c r="S16" s="181"/>
      <c r="U16" s="183"/>
      <c r="V16" s="183"/>
    </row>
    <row r="17" spans="2:35" ht="37.5" thickBot="1" x14ac:dyDescent="0.35">
      <c r="B17" s="314" t="s">
        <v>30</v>
      </c>
      <c r="C17" s="314"/>
      <c r="D17" s="355" t="s">
        <v>435</v>
      </c>
      <c r="E17" s="325">
        <f>176.13*1.03*1.03</f>
        <v>186.85631700000002</v>
      </c>
      <c r="F17" s="325">
        <v>2</v>
      </c>
      <c r="G17" s="344">
        <v>798.14</v>
      </c>
      <c r="H17" s="325">
        <v>2</v>
      </c>
      <c r="I17" s="336">
        <f>N17/1000-E17-F17-G17-H17-J17-K17-L17</f>
        <v>1934.1584242745298</v>
      </c>
      <c r="J17" s="325">
        <v>50</v>
      </c>
      <c r="K17" s="325">
        <v>6</v>
      </c>
      <c r="L17" s="325">
        <v>22</v>
      </c>
      <c r="M17" s="346">
        <f>SUM(E17:L17)</f>
        <v>3001.1547412745299</v>
      </c>
      <c r="N17" s="317">
        <f>'ES CT Electric Table A  '!N20</f>
        <v>3001154.7412745301</v>
      </c>
      <c r="O17" s="326">
        <f>N17/1000-M17</f>
        <v>0</v>
      </c>
      <c r="Q17" s="181"/>
      <c r="R17" s="181"/>
      <c r="S17" s="181"/>
      <c r="U17" s="183"/>
      <c r="V17" s="183"/>
    </row>
    <row r="18" spans="2:35" ht="19.5" thickBot="1" x14ac:dyDescent="0.35">
      <c r="B18" s="314" t="s">
        <v>30</v>
      </c>
      <c r="C18" s="314"/>
      <c r="D18" s="335" t="s">
        <v>126</v>
      </c>
      <c r="E18" s="325">
        <f>1385.65590198934*1.03*1.03</f>
        <v>1470.042346420491</v>
      </c>
      <c r="F18" s="325">
        <v>5</v>
      </c>
      <c r="G18" s="325">
        <v>400</v>
      </c>
      <c r="H18" s="325">
        <v>144</v>
      </c>
      <c r="I18" s="336">
        <f>N18/1000-E18-F18-G18-H18-J18-K18-L18</f>
        <v>9577.1674921431095</v>
      </c>
      <c r="J18" s="325">
        <v>200</v>
      </c>
      <c r="K18" s="325">
        <v>27</v>
      </c>
      <c r="L18" s="325">
        <v>20</v>
      </c>
      <c r="M18" s="346">
        <f>SUM(E18:L18)</f>
        <v>11843.2098385636</v>
      </c>
      <c r="N18" s="317">
        <f>'ES CT Electric Table A  '!N21</f>
        <v>11843209.838563601</v>
      </c>
      <c r="O18" s="326">
        <f>N18/1000-M18</f>
        <v>0</v>
      </c>
      <c r="Q18" s="181"/>
      <c r="R18" s="181"/>
      <c r="S18" s="181"/>
      <c r="U18" s="183"/>
      <c r="V18" s="183"/>
    </row>
    <row r="19" spans="2:35" ht="18.75" thickBot="1" x14ac:dyDescent="0.3">
      <c r="B19" s="314"/>
      <c r="C19" s="314"/>
      <c r="D19" s="340" t="s">
        <v>296</v>
      </c>
      <c r="E19" s="343">
        <f>SUM(E15:E18)</f>
        <v>6938.9501718458177</v>
      </c>
      <c r="F19" s="343">
        <f t="shared" ref="F19:M19" si="3">SUM(F15:F18)</f>
        <v>16</v>
      </c>
      <c r="G19" s="343">
        <f t="shared" si="3"/>
        <v>4098.902</v>
      </c>
      <c r="H19" s="343">
        <f t="shared" si="3"/>
        <v>886.52848000000006</v>
      </c>
      <c r="I19" s="343">
        <f t="shared" si="3"/>
        <v>46350.22102690961</v>
      </c>
      <c r="J19" s="343">
        <f t="shared" si="3"/>
        <v>600</v>
      </c>
      <c r="K19" s="343">
        <f t="shared" si="3"/>
        <v>210</v>
      </c>
      <c r="L19" s="343">
        <f t="shared" si="3"/>
        <v>142</v>
      </c>
      <c r="M19" s="343">
        <f t="shared" si="3"/>
        <v>59242.601678755425</v>
      </c>
      <c r="N19" s="317">
        <f>'ES CT Electric Table A  '!N22</f>
        <v>59242601.678755432</v>
      </c>
      <c r="O19" s="326">
        <f>N19/1000-M19</f>
        <v>0</v>
      </c>
    </row>
    <row r="20" spans="2:35" ht="18.75" thickBot="1" x14ac:dyDescent="0.3">
      <c r="B20" s="314"/>
      <c r="C20" s="314"/>
      <c r="D20" s="935" t="s">
        <v>41</v>
      </c>
      <c r="E20" s="936"/>
      <c r="F20" s="936"/>
      <c r="G20" s="936"/>
      <c r="H20" s="936"/>
      <c r="I20" s="936"/>
      <c r="J20" s="936"/>
      <c r="K20" s="936"/>
      <c r="L20" s="936"/>
      <c r="M20" s="936"/>
      <c r="N20" s="317"/>
      <c r="O20" s="313"/>
    </row>
    <row r="21" spans="2:35" ht="18" x14ac:dyDescent="0.25">
      <c r="B21" s="314"/>
      <c r="C21" s="314"/>
      <c r="D21" s="328" t="s">
        <v>256</v>
      </c>
      <c r="E21" s="319">
        <f>159.65*1.03*1.03</f>
        <v>169.37268500000002</v>
      </c>
      <c r="F21" s="319">
        <v>0</v>
      </c>
      <c r="G21" s="319">
        <f>N21/1000-E21-F21-H21-I21-J21-K21-L21</f>
        <v>676.83531500000038</v>
      </c>
      <c r="H21" s="319">
        <v>0</v>
      </c>
      <c r="I21" s="321">
        <f>2835.999-800</f>
        <v>2035.9989999999998</v>
      </c>
      <c r="J21" s="319">
        <f>97.793+102</f>
        <v>199.79300000000001</v>
      </c>
      <c r="K21" s="319">
        <v>0</v>
      </c>
      <c r="L21" s="319">
        <v>0</v>
      </c>
      <c r="M21" s="327">
        <f>SUM(E21:L21)</f>
        <v>3082.0000000000005</v>
      </c>
      <c r="N21" s="317">
        <f>'ES CT Electric Table A  '!N24</f>
        <v>3082000</v>
      </c>
      <c r="O21" s="318">
        <f>N21/1000-M21</f>
        <v>0</v>
      </c>
    </row>
    <row r="22" spans="2:35" ht="18.75" thickBot="1" x14ac:dyDescent="0.3">
      <c r="B22" s="314"/>
      <c r="C22" s="314"/>
      <c r="D22" s="329" t="s">
        <v>258</v>
      </c>
      <c r="E22" s="330">
        <f>159.65*1.03*1.03</f>
        <v>169.37268500000002</v>
      </c>
      <c r="F22" s="330">
        <v>0</v>
      </c>
      <c r="G22" s="319">
        <f>N22/1000-E22-F22-H22-I22-J22-K22-L22</f>
        <v>825.04031499999996</v>
      </c>
      <c r="H22" s="330">
        <v>5</v>
      </c>
      <c r="I22" s="331">
        <f>4268.839-1000</f>
        <v>3268.8389999999999</v>
      </c>
      <c r="J22" s="330">
        <f>112.338</f>
        <v>112.33799999999999</v>
      </c>
      <c r="K22" s="330">
        <v>0</v>
      </c>
      <c r="L22" s="330">
        <v>0</v>
      </c>
      <c r="M22" s="327">
        <f>SUM(E22:L22)</f>
        <v>4380.59</v>
      </c>
      <c r="N22" s="317">
        <f>'ES CT Electric Table A  '!N25</f>
        <v>4380590</v>
      </c>
      <c r="O22" s="318">
        <f>N22/1000-M22</f>
        <v>0</v>
      </c>
    </row>
    <row r="23" spans="2:35" ht="18.75" thickBot="1" x14ac:dyDescent="0.3">
      <c r="B23" s="314"/>
      <c r="C23" s="314"/>
      <c r="D23" s="342" t="s">
        <v>299</v>
      </c>
      <c r="E23" s="343">
        <f t="shared" ref="E23:M23" si="4">SUM(E21:E22)</f>
        <v>338.74537000000004</v>
      </c>
      <c r="F23" s="343">
        <f t="shared" si="4"/>
        <v>0</v>
      </c>
      <c r="G23" s="343">
        <f t="shared" si="4"/>
        <v>1501.8756300000005</v>
      </c>
      <c r="H23" s="343">
        <f t="shared" si="4"/>
        <v>5</v>
      </c>
      <c r="I23" s="343">
        <f t="shared" si="4"/>
        <v>5304.8379999999997</v>
      </c>
      <c r="J23" s="343">
        <f t="shared" si="4"/>
        <v>312.13099999999997</v>
      </c>
      <c r="K23" s="343">
        <f t="shared" si="4"/>
        <v>0</v>
      </c>
      <c r="L23" s="343">
        <f t="shared" si="4"/>
        <v>0</v>
      </c>
      <c r="M23" s="343">
        <f t="shared" si="4"/>
        <v>7462.59</v>
      </c>
      <c r="N23" s="317">
        <f>'ES CT Electric Table A  '!N26</f>
        <v>7462590</v>
      </c>
      <c r="O23" s="313">
        <f>N23/1000-M23</f>
        <v>0</v>
      </c>
    </row>
    <row r="24" spans="2:35" ht="18.75" thickBot="1" x14ac:dyDescent="0.3">
      <c r="B24" s="314"/>
      <c r="C24" s="314"/>
      <c r="D24" s="938" t="s">
        <v>261</v>
      </c>
      <c r="E24" s="938"/>
      <c r="F24" s="938"/>
      <c r="G24" s="938"/>
      <c r="H24" s="938"/>
      <c r="I24" s="938"/>
      <c r="J24" s="938"/>
      <c r="K24" s="938"/>
      <c r="L24" s="938"/>
      <c r="M24" s="938"/>
      <c r="N24" s="317"/>
      <c r="O24" s="313"/>
      <c r="AI24" s="126" t="s">
        <v>266</v>
      </c>
    </row>
    <row r="25" spans="2:35" ht="18.75" thickBot="1" x14ac:dyDescent="0.3">
      <c r="B25" s="314" t="s">
        <v>196</v>
      </c>
      <c r="C25" s="314"/>
      <c r="D25" s="563" t="s">
        <v>395</v>
      </c>
      <c r="E25" s="325">
        <f>53.045*1.03</f>
        <v>54.63635</v>
      </c>
      <c r="F25" s="325">
        <v>0</v>
      </c>
      <c r="G25" s="344">
        <f>N25/1000-E25-F25-H25-I25-J25-K25-L25</f>
        <v>632.48365000000001</v>
      </c>
      <c r="H25" s="325">
        <v>0</v>
      </c>
      <c r="I25" s="325">
        <v>0</v>
      </c>
      <c r="J25" s="325">
        <v>48.88</v>
      </c>
      <c r="K25" s="325">
        <v>0</v>
      </c>
      <c r="L25" s="325">
        <v>0</v>
      </c>
      <c r="M25" s="338">
        <f>SUM(E25:L25)</f>
        <v>736</v>
      </c>
      <c r="N25" s="317">
        <f>'ES CT Electric Table A  '!N28</f>
        <v>736000</v>
      </c>
      <c r="O25" s="326">
        <f>N25/1000-M25</f>
        <v>0</v>
      </c>
    </row>
    <row r="26" spans="2:35" ht="18.75" thickBot="1" x14ac:dyDescent="0.3">
      <c r="B26" s="314" t="s">
        <v>18</v>
      </c>
      <c r="C26" s="314"/>
      <c r="D26" s="242" t="s">
        <v>392</v>
      </c>
      <c r="E26" s="325">
        <f>53.278*1.03</f>
        <v>54.876339999999999</v>
      </c>
      <c r="F26" s="325">
        <v>0</v>
      </c>
      <c r="G26" s="344">
        <f>N26/1000-E26-F26-H26-I26-J26-K26-L26</f>
        <v>738.72366</v>
      </c>
      <c r="H26" s="325">
        <v>0</v>
      </c>
      <c r="I26" s="325">
        <v>0</v>
      </c>
      <c r="J26" s="325">
        <v>0</v>
      </c>
      <c r="K26" s="325">
        <v>0</v>
      </c>
      <c r="L26" s="325">
        <v>0</v>
      </c>
      <c r="M26" s="338">
        <f>SUM(E26:L26)</f>
        <v>793.6</v>
      </c>
      <c r="N26" s="317">
        <f>'ES CT Electric Table A  '!N29</f>
        <v>793600</v>
      </c>
      <c r="O26" s="326">
        <f>N26/1000-M26</f>
        <v>0</v>
      </c>
    </row>
    <row r="27" spans="2:35" ht="18.75" thickBot="1" x14ac:dyDescent="0.3">
      <c r="B27" s="314" t="s">
        <v>18</v>
      </c>
      <c r="C27" s="314"/>
      <c r="D27" s="555" t="s">
        <v>393</v>
      </c>
      <c r="E27" s="325">
        <f>35.2*1.03</f>
        <v>36.256000000000007</v>
      </c>
      <c r="F27" s="325">
        <v>0</v>
      </c>
      <c r="G27" s="344">
        <f>N27/1000-E27-F27-H27-I27-J27-K27-L27</f>
        <v>632.74400000000003</v>
      </c>
      <c r="H27" s="325">
        <v>0</v>
      </c>
      <c r="I27" s="325">
        <v>0</v>
      </c>
      <c r="J27" s="325">
        <f>35+45</f>
        <v>80</v>
      </c>
      <c r="K27" s="325">
        <v>0</v>
      </c>
      <c r="L27" s="325">
        <v>19</v>
      </c>
      <c r="M27" s="338">
        <f>SUM(E27:L27)</f>
        <v>768</v>
      </c>
      <c r="N27" s="317">
        <f>'ES CT Electric Table A  '!N30</f>
        <v>768000</v>
      </c>
      <c r="O27" s="326">
        <f>N27/1000-M27</f>
        <v>0</v>
      </c>
    </row>
    <row r="28" spans="2:35" ht="18.75" thickBot="1" x14ac:dyDescent="0.3">
      <c r="B28" s="314" t="s">
        <v>196</v>
      </c>
      <c r="C28" s="314"/>
      <c r="D28" s="555" t="s">
        <v>394</v>
      </c>
      <c r="E28" s="325">
        <f>57.6*1.03</f>
        <v>59.328000000000003</v>
      </c>
      <c r="F28" s="325">
        <v>0</v>
      </c>
      <c r="G28" s="344">
        <f>N28/1000-E28-F28-H28-I28-J28-K28-L28</f>
        <v>324.67200000000003</v>
      </c>
      <c r="H28" s="325">
        <v>16</v>
      </c>
      <c r="I28" s="325">
        <v>0</v>
      </c>
      <c r="J28" s="325">
        <v>0</v>
      </c>
      <c r="K28" s="325">
        <v>0</v>
      </c>
      <c r="L28" s="325">
        <v>0</v>
      </c>
      <c r="M28" s="338">
        <f>SUM(E28:L28)</f>
        <v>400</v>
      </c>
      <c r="N28" s="317">
        <f>'ES CT Electric Table A  '!N31</f>
        <v>400000</v>
      </c>
      <c r="O28" s="318">
        <f>N28/1000-M28</f>
        <v>0</v>
      </c>
    </row>
    <row r="29" spans="2:35" ht="18.75" thickBot="1" x14ac:dyDescent="0.3">
      <c r="B29" s="314"/>
      <c r="C29" s="314"/>
      <c r="D29" s="340" t="s">
        <v>297</v>
      </c>
      <c r="E29" s="343">
        <f t="shared" ref="E29:M29" si="5">SUM(E25:E28)</f>
        <v>205.09669</v>
      </c>
      <c r="F29" s="343">
        <f t="shared" si="5"/>
        <v>0</v>
      </c>
      <c r="G29" s="343">
        <f t="shared" si="5"/>
        <v>2328.6233099999999</v>
      </c>
      <c r="H29" s="343">
        <f t="shared" si="5"/>
        <v>16</v>
      </c>
      <c r="I29" s="343">
        <f t="shared" si="5"/>
        <v>0</v>
      </c>
      <c r="J29" s="343">
        <f t="shared" si="5"/>
        <v>128.88</v>
      </c>
      <c r="K29" s="343">
        <f t="shared" si="5"/>
        <v>0</v>
      </c>
      <c r="L29" s="343">
        <f t="shared" si="5"/>
        <v>19</v>
      </c>
      <c r="M29" s="343">
        <f t="shared" si="5"/>
        <v>2697.6</v>
      </c>
      <c r="N29" s="317">
        <f>'ES CT Electric Table A  '!N32</f>
        <v>2697600</v>
      </c>
      <c r="O29" s="313">
        <f>N29/1000-M29</f>
        <v>0</v>
      </c>
    </row>
    <row r="30" spans="2:35" ht="18.75" thickBot="1" x14ac:dyDescent="0.3">
      <c r="B30" s="312"/>
      <c r="C30" s="312"/>
      <c r="D30" s="935" t="s">
        <v>40</v>
      </c>
      <c r="E30" s="935"/>
      <c r="F30" s="935"/>
      <c r="G30" s="935"/>
      <c r="H30" s="935"/>
      <c r="I30" s="935"/>
      <c r="J30" s="935"/>
      <c r="K30" s="935"/>
      <c r="L30" s="935"/>
      <c r="M30" s="935"/>
      <c r="N30" s="317"/>
      <c r="O30" s="313"/>
    </row>
    <row r="31" spans="2:35" ht="36.75" thickBot="1" x14ac:dyDescent="0.3">
      <c r="B31" s="314" t="s">
        <v>29</v>
      </c>
      <c r="C31" s="314"/>
      <c r="D31" s="356" t="s">
        <v>303</v>
      </c>
      <c r="E31" s="325">
        <v>0</v>
      </c>
      <c r="F31" s="325">
        <v>0</v>
      </c>
      <c r="G31" s="344">
        <v>0</v>
      </c>
      <c r="H31" s="325">
        <v>0</v>
      </c>
      <c r="I31" s="325">
        <v>0</v>
      </c>
      <c r="J31" s="325">
        <v>0</v>
      </c>
      <c r="K31" s="325">
        <f>N31/1000-E31-F31-H31-I31-J31-G31-L31</f>
        <v>2000.0000550754551</v>
      </c>
      <c r="L31" s="346">
        <v>0</v>
      </c>
      <c r="M31" s="338">
        <f>SUM(E31:L31)</f>
        <v>2000.0000550754551</v>
      </c>
      <c r="N31" s="317">
        <f>'ES CT Electric Table A  '!N34</f>
        <v>2000000.055075455</v>
      </c>
      <c r="O31" s="318">
        <f>N31/1000-M31</f>
        <v>0</v>
      </c>
    </row>
    <row r="32" spans="2:35" ht="18.75" thickBot="1" x14ac:dyDescent="0.3">
      <c r="B32" s="314" t="s">
        <v>30</v>
      </c>
      <c r="C32" s="314"/>
      <c r="D32" s="345" t="s">
        <v>189</v>
      </c>
      <c r="E32" s="325">
        <v>0</v>
      </c>
      <c r="F32" s="325">
        <v>0</v>
      </c>
      <c r="G32" s="344">
        <f>0</f>
        <v>0</v>
      </c>
      <c r="H32" s="325">
        <v>0</v>
      </c>
      <c r="I32" s="325">
        <v>0</v>
      </c>
      <c r="J32" s="325">
        <v>0</v>
      </c>
      <c r="K32" s="347">
        <f>1000</f>
        <v>1000</v>
      </c>
      <c r="L32" s="346">
        <f>N32/1000-E32-F32-G32-H32-I32-J32-K32</f>
        <v>0</v>
      </c>
      <c r="M32" s="338">
        <f>SUM(E32:L32)</f>
        <v>1000</v>
      </c>
      <c r="N32" s="317">
        <f>'ES CT Electric Table A  '!N35</f>
        <v>1000000</v>
      </c>
      <c r="O32" s="318">
        <f>N32/1000-M32</f>
        <v>0</v>
      </c>
    </row>
    <row r="33" spans="1:15" ht="20.25" customHeight="1" thickBot="1" x14ac:dyDescent="0.3">
      <c r="B33" s="314" t="s">
        <v>31</v>
      </c>
      <c r="C33" s="314"/>
      <c r="D33" s="335" t="s">
        <v>21</v>
      </c>
      <c r="E33" s="325">
        <f>65.84395646784*1.03*1.03</f>
        <v>69.853853416731454</v>
      </c>
      <c r="F33" s="325">
        <v>2</v>
      </c>
      <c r="G33" s="344">
        <f>N33/1000-E33-F33-H33-I33-J33-K33-L33</f>
        <v>85.373005911886565</v>
      </c>
      <c r="H33" s="325">
        <v>0</v>
      </c>
      <c r="I33" s="325">
        <v>0</v>
      </c>
      <c r="J33" s="325">
        <v>0</v>
      </c>
      <c r="K33" s="347">
        <v>0</v>
      </c>
      <c r="L33" s="325">
        <v>5</v>
      </c>
      <c r="M33" s="338">
        <f>SUM(E33:L33)</f>
        <v>162.22685932861802</v>
      </c>
      <c r="N33" s="317">
        <f>'ES CT Electric Table A  '!N36</f>
        <v>162226.85932861801</v>
      </c>
      <c r="O33" s="318">
        <f>N33/1000-M33</f>
        <v>0</v>
      </c>
    </row>
    <row r="34" spans="1:15" ht="18.75" thickBot="1" x14ac:dyDescent="0.3">
      <c r="B34" s="314"/>
      <c r="C34" s="314"/>
      <c r="D34" s="340" t="s">
        <v>298</v>
      </c>
      <c r="E34" s="343">
        <f t="shared" ref="E34:L34" si="6">SUM(E31:E33)</f>
        <v>69.853853416731454</v>
      </c>
      <c r="F34" s="343">
        <f t="shared" si="6"/>
        <v>2</v>
      </c>
      <c r="G34" s="343">
        <f t="shared" si="6"/>
        <v>85.373005911886565</v>
      </c>
      <c r="H34" s="343">
        <f t="shared" si="6"/>
        <v>0</v>
      </c>
      <c r="I34" s="343">
        <f t="shared" si="6"/>
        <v>0</v>
      </c>
      <c r="J34" s="343">
        <f t="shared" si="6"/>
        <v>0</v>
      </c>
      <c r="K34" s="343">
        <f t="shared" si="6"/>
        <v>3000.0000550754548</v>
      </c>
      <c r="L34" s="343">
        <f t="shared" si="6"/>
        <v>5</v>
      </c>
      <c r="M34" s="343">
        <f>SUM(E34:L34)</f>
        <v>3162.2269144040729</v>
      </c>
      <c r="N34" s="317">
        <f>'ES CT Electric Table A  '!N37</f>
        <v>3162226.9144040728</v>
      </c>
      <c r="O34" s="313">
        <f>N34/1000-M34</f>
        <v>0</v>
      </c>
    </row>
    <row r="35" spans="1:15" ht="27" customHeight="1" thickBot="1" x14ac:dyDescent="0.3">
      <c r="B35" s="314"/>
      <c r="C35" s="314"/>
      <c r="D35" s="936" t="s">
        <v>22</v>
      </c>
      <c r="E35" s="936"/>
      <c r="F35" s="936"/>
      <c r="G35" s="936"/>
      <c r="H35" s="936"/>
      <c r="I35" s="936"/>
      <c r="J35" s="936"/>
      <c r="K35" s="936"/>
      <c r="L35" s="936"/>
      <c r="M35" s="936"/>
      <c r="N35" s="317"/>
      <c r="O35" s="313"/>
    </row>
    <row r="36" spans="1:15" ht="20.25" customHeight="1" thickBot="1" x14ac:dyDescent="0.3">
      <c r="B36" s="314" t="s">
        <v>31</v>
      </c>
      <c r="C36" s="314"/>
      <c r="D36" s="265" t="s">
        <v>7</v>
      </c>
      <c r="E36" s="348">
        <f>816.377994695973*1.03*1.03</f>
        <v>866.09541457295779</v>
      </c>
      <c r="F36" s="348">
        <v>0</v>
      </c>
      <c r="G36" s="319">
        <v>0</v>
      </c>
      <c r="H36" s="325">
        <f>N36/1000-E36-F36-K36-L36-G36</f>
        <v>36.501270123015161</v>
      </c>
      <c r="I36" s="349">
        <v>0</v>
      </c>
      <c r="J36" s="349">
        <v>0</v>
      </c>
      <c r="K36" s="325">
        <v>0</v>
      </c>
      <c r="L36" s="346">
        <v>0</v>
      </c>
      <c r="M36" s="346">
        <f t="shared" ref="M36:M43" si="7">SUM(E36:L36)</f>
        <v>902.59668469597295</v>
      </c>
      <c r="N36" s="317">
        <f>'ES CT Electric Table A  '!N39</f>
        <v>902596.68469597294</v>
      </c>
      <c r="O36" s="318">
        <f t="shared" ref="O36:O45" si="8">N36/1000-M36</f>
        <v>0</v>
      </c>
    </row>
    <row r="37" spans="1:15" ht="20.25" customHeight="1" thickBot="1" x14ac:dyDescent="0.3">
      <c r="B37" s="314" t="s">
        <v>18</v>
      </c>
      <c r="C37" s="314"/>
      <c r="D37" s="265" t="s">
        <v>134</v>
      </c>
      <c r="E37" s="348">
        <v>0</v>
      </c>
      <c r="F37" s="325">
        <v>0</v>
      </c>
      <c r="G37" s="325">
        <v>0</v>
      </c>
      <c r="H37" s="325">
        <v>0</v>
      </c>
      <c r="I37" s="349">
        <v>0</v>
      </c>
      <c r="J37" s="344">
        <f>N37/1000-E37-F37-H37-I37-K37-L37-G37</f>
        <v>428.41292805218598</v>
      </c>
      <c r="K37" s="325">
        <f>1-0.0329</f>
        <v>0.96709999999999996</v>
      </c>
      <c r="L37" s="346">
        <v>1</v>
      </c>
      <c r="M37" s="346">
        <f t="shared" si="7"/>
        <v>430.38002805218599</v>
      </c>
      <c r="N37" s="317">
        <f>'ES CT Electric Table A  '!N40</f>
        <v>430380.02805218601</v>
      </c>
      <c r="O37" s="318">
        <f t="shared" si="8"/>
        <v>0</v>
      </c>
    </row>
    <row r="38" spans="1:15" ht="20.25" customHeight="1" thickBot="1" x14ac:dyDescent="0.3">
      <c r="B38" s="314" t="s">
        <v>31</v>
      </c>
      <c r="C38" s="314"/>
      <c r="D38" s="265" t="s">
        <v>193</v>
      </c>
      <c r="E38" s="325">
        <f>649.30067*1.03*1.03</f>
        <v>688.84308080300002</v>
      </c>
      <c r="F38" s="325">
        <v>0</v>
      </c>
      <c r="G38" s="325">
        <f>0</f>
        <v>0</v>
      </c>
      <c r="H38" s="325">
        <f>N38/1000-E38-F38-K38-L38-G38</f>
        <v>1.3269191969999383</v>
      </c>
      <c r="I38" s="325">
        <v>0</v>
      </c>
      <c r="J38" s="325">
        <v>0</v>
      </c>
      <c r="K38" s="325">
        <v>1</v>
      </c>
      <c r="L38" s="325">
        <v>12</v>
      </c>
      <c r="M38" s="346">
        <f t="shared" si="7"/>
        <v>703.17</v>
      </c>
      <c r="N38" s="317">
        <f>'ES CT Electric Table A  '!N41</f>
        <v>703170</v>
      </c>
      <c r="O38" s="318">
        <f t="shared" si="8"/>
        <v>0</v>
      </c>
    </row>
    <row r="39" spans="1:15" ht="20.25" customHeight="1" thickBot="1" x14ac:dyDescent="0.3">
      <c r="B39" s="314" t="s">
        <v>31</v>
      </c>
      <c r="C39" s="314"/>
      <c r="D39" s="265" t="s">
        <v>222</v>
      </c>
      <c r="E39" s="325">
        <v>0</v>
      </c>
      <c r="F39" s="325">
        <v>0</v>
      </c>
      <c r="G39" s="325">
        <f>N39/1000-E39-F39-H39-I39-J39-K39-L39</f>
        <v>2878</v>
      </c>
      <c r="H39" s="325">
        <v>0</v>
      </c>
      <c r="I39" s="325">
        <v>0</v>
      </c>
      <c r="J39" s="325">
        <v>0</v>
      </c>
      <c r="K39" s="325">
        <v>1</v>
      </c>
      <c r="L39" s="325">
        <v>1</v>
      </c>
      <c r="M39" s="346">
        <f t="shared" si="7"/>
        <v>2880</v>
      </c>
      <c r="N39" s="317">
        <f>'ES CT Electric Table A  '!N42</f>
        <v>2880000</v>
      </c>
      <c r="O39" s="318">
        <f t="shared" si="8"/>
        <v>0</v>
      </c>
    </row>
    <row r="40" spans="1:15" ht="20.25" customHeight="1" thickBot="1" x14ac:dyDescent="0.3">
      <c r="B40" s="314" t="s">
        <v>31</v>
      </c>
      <c r="C40" s="314"/>
      <c r="D40" s="265" t="s">
        <v>219</v>
      </c>
      <c r="E40" s="325">
        <v>0</v>
      </c>
      <c r="F40" s="325">
        <v>0</v>
      </c>
      <c r="G40" s="325">
        <f>N40/1000-E40-F40-H40-I40-J40-K40-L40</f>
        <v>284.23200000000003</v>
      </c>
      <c r="H40" s="325">
        <v>0</v>
      </c>
      <c r="I40" s="325">
        <v>0</v>
      </c>
      <c r="J40" s="325">
        <v>0</v>
      </c>
      <c r="K40" s="325">
        <v>0</v>
      </c>
      <c r="L40" s="325">
        <v>0</v>
      </c>
      <c r="M40" s="346">
        <f t="shared" si="7"/>
        <v>284.23200000000003</v>
      </c>
      <c r="N40" s="317">
        <f>'ES CT Electric Table A  '!N43</f>
        <v>284232</v>
      </c>
      <c r="O40" s="318">
        <f t="shared" si="8"/>
        <v>0</v>
      </c>
    </row>
    <row r="41" spans="1:15" ht="20.25" customHeight="1" thickBot="1" x14ac:dyDescent="0.3">
      <c r="B41" s="314" t="s">
        <v>31</v>
      </c>
      <c r="C41" s="314"/>
      <c r="D41" s="265" t="s">
        <v>8</v>
      </c>
      <c r="E41" s="349">
        <f>408.3332*1.03*1.03</f>
        <v>433.20069188000002</v>
      </c>
      <c r="F41" s="349">
        <v>0</v>
      </c>
      <c r="G41" s="325">
        <f>N41/1000-E41-F41-H41-I41-J41-K41-L41</f>
        <v>1211.2823012864999</v>
      </c>
      <c r="H41" s="349">
        <v>144.614</v>
      </c>
      <c r="I41" s="349">
        <v>0</v>
      </c>
      <c r="J41" s="349">
        <v>0</v>
      </c>
      <c r="K41" s="349">
        <v>0</v>
      </c>
      <c r="L41" s="349">
        <v>50</v>
      </c>
      <c r="M41" s="346">
        <f t="shared" si="7"/>
        <v>1839.0969931664999</v>
      </c>
      <c r="N41" s="317">
        <f>'ES CT Electric Table A  '!N44</f>
        <v>1839096.9931665</v>
      </c>
      <c r="O41" s="318">
        <f t="shared" si="8"/>
        <v>0</v>
      </c>
    </row>
    <row r="42" spans="1:15" ht="20.25" customHeight="1" thickBot="1" x14ac:dyDescent="0.3">
      <c r="B42" s="314" t="s">
        <v>31</v>
      </c>
      <c r="C42" s="314"/>
      <c r="D42" s="265" t="s">
        <v>220</v>
      </c>
      <c r="E42" s="349">
        <v>0</v>
      </c>
      <c r="F42" s="349">
        <v>0</v>
      </c>
      <c r="G42" s="325">
        <f>N42/1000-E42-F42-H42-I42-J42-K42-L42</f>
        <v>512.00099999999998</v>
      </c>
      <c r="H42" s="349">
        <v>0</v>
      </c>
      <c r="I42" s="349">
        <v>0</v>
      </c>
      <c r="J42" s="349">
        <v>0</v>
      </c>
      <c r="K42" s="325">
        <v>0</v>
      </c>
      <c r="L42" s="346">
        <v>0</v>
      </c>
      <c r="M42" s="346">
        <f t="shared" si="7"/>
        <v>512.00099999999998</v>
      </c>
      <c r="N42" s="317">
        <f>'ES CT Electric Table A  '!N45</f>
        <v>512001</v>
      </c>
      <c r="O42" s="318">
        <f t="shared" si="8"/>
        <v>0</v>
      </c>
    </row>
    <row r="43" spans="1:15" ht="20.25" customHeight="1" thickBot="1" x14ac:dyDescent="0.3">
      <c r="B43" s="314" t="s">
        <v>31</v>
      </c>
      <c r="C43" s="314"/>
      <c r="D43" s="265" t="s">
        <v>223</v>
      </c>
      <c r="E43" s="349">
        <v>0</v>
      </c>
      <c r="F43" s="349">
        <v>0</v>
      </c>
      <c r="G43" s="325">
        <f>N43/1000-E43-F43-H43-I43-J43-K43-L43</f>
        <v>60</v>
      </c>
      <c r="H43" s="349">
        <v>0</v>
      </c>
      <c r="I43" s="349">
        <v>0</v>
      </c>
      <c r="J43" s="349">
        <v>0</v>
      </c>
      <c r="K43" s="325">
        <v>0</v>
      </c>
      <c r="L43" s="346">
        <v>0</v>
      </c>
      <c r="M43" s="346">
        <f t="shared" si="7"/>
        <v>60</v>
      </c>
      <c r="N43" s="317">
        <f>'ES CT Electric Table A  '!N46</f>
        <v>60000</v>
      </c>
      <c r="O43" s="318">
        <f t="shared" si="8"/>
        <v>0</v>
      </c>
    </row>
    <row r="44" spans="1:15" ht="20.25" customHeight="1" thickBot="1" x14ac:dyDescent="0.3">
      <c r="B44" s="314" t="s">
        <v>31</v>
      </c>
      <c r="C44" s="314"/>
      <c r="D44" s="564" t="s">
        <v>221</v>
      </c>
      <c r="E44" s="325">
        <v>0</v>
      </c>
      <c r="F44" s="325">
        <v>0</v>
      </c>
      <c r="G44" s="325">
        <v>0</v>
      </c>
      <c r="H44" s="325">
        <v>0</v>
      </c>
      <c r="I44" s="325">
        <v>0</v>
      </c>
      <c r="J44" s="325">
        <v>0</v>
      </c>
      <c r="K44" s="344">
        <f>N44/1000</f>
        <v>6849.3493876250004</v>
      </c>
      <c r="L44" s="346">
        <v>0</v>
      </c>
      <c r="M44" s="346">
        <f>SUM(E44:L44)</f>
        <v>6849.3493876250004</v>
      </c>
      <c r="N44" s="317">
        <f>'ES CT Electric Table A  '!N47</f>
        <v>6849349.3876250004</v>
      </c>
      <c r="O44" s="318">
        <f t="shared" si="8"/>
        <v>0</v>
      </c>
    </row>
    <row r="45" spans="1:15" ht="23.25" customHeight="1" thickBot="1" x14ac:dyDescent="0.3">
      <c r="B45" s="314"/>
      <c r="C45" s="314"/>
      <c r="D45" s="340" t="s">
        <v>300</v>
      </c>
      <c r="E45" s="343">
        <f t="shared" ref="E45:M45" si="9">SUM(E36:E44)</f>
        <v>1988.1391872559577</v>
      </c>
      <c r="F45" s="343">
        <f t="shared" si="9"/>
        <v>0</v>
      </c>
      <c r="G45" s="343">
        <f t="shared" si="9"/>
        <v>4945.5153012865003</v>
      </c>
      <c r="H45" s="343">
        <f t="shared" si="9"/>
        <v>182.4421893200151</v>
      </c>
      <c r="I45" s="343">
        <f t="shared" si="9"/>
        <v>0</v>
      </c>
      <c r="J45" s="343">
        <f t="shared" si="9"/>
        <v>428.41292805218598</v>
      </c>
      <c r="K45" s="343">
        <f t="shared" si="9"/>
        <v>6852.3164876250003</v>
      </c>
      <c r="L45" s="343">
        <f t="shared" si="9"/>
        <v>64</v>
      </c>
      <c r="M45" s="343">
        <f t="shared" si="9"/>
        <v>14460.826093539661</v>
      </c>
      <c r="N45" s="317">
        <f>'ES CT Electric Table A  '!N48</f>
        <v>14460826.093539659</v>
      </c>
      <c r="O45" s="318">
        <f t="shared" si="8"/>
        <v>0</v>
      </c>
    </row>
    <row r="46" spans="1:15" ht="19.5" hidden="1" customHeight="1" thickBot="1" x14ac:dyDescent="0.3">
      <c r="B46" s="314"/>
      <c r="C46" s="314"/>
      <c r="D46" s="340" t="s">
        <v>100</v>
      </c>
      <c r="E46" s="350"/>
      <c r="F46" s="350"/>
      <c r="G46" s="350"/>
      <c r="H46" s="350"/>
      <c r="I46" s="350"/>
      <c r="J46" s="350"/>
      <c r="K46" s="350"/>
      <c r="L46" s="351"/>
      <c r="M46" s="350"/>
      <c r="N46" s="317"/>
      <c r="O46" s="318"/>
    </row>
    <row r="47" spans="1:15" ht="18" hidden="1" customHeight="1" thickBot="1" x14ac:dyDescent="0.3">
      <c r="A47" s="133"/>
      <c r="B47" s="314"/>
      <c r="C47" s="314"/>
      <c r="D47" s="352" t="s">
        <v>25</v>
      </c>
      <c r="E47" s="353">
        <f>E13+E25*0.8+E27*0.5+E26*0.5+E28*0.8+E31+E37*0.8+E21</f>
        <v>4121.8537365381417</v>
      </c>
      <c r="F47" s="353">
        <f t="shared" ref="F47:M47" si="10">F13+F25*0.8+F27*0.5+F26*0.5+F28*0.8+F31+F37*0.8+F21</f>
        <v>12</v>
      </c>
      <c r="G47" s="353">
        <f t="shared" si="10"/>
        <v>8908.025665000001</v>
      </c>
      <c r="H47" s="353">
        <f t="shared" si="10"/>
        <v>324.94800000000004</v>
      </c>
      <c r="I47" s="353">
        <f t="shared" si="10"/>
        <v>46146.822570538177</v>
      </c>
      <c r="J47" s="353">
        <f t="shared" si="10"/>
        <v>3046.9273424417488</v>
      </c>
      <c r="K47" s="353">
        <f t="shared" si="10"/>
        <v>2121.7474629991348</v>
      </c>
      <c r="L47" s="353">
        <f t="shared" si="10"/>
        <v>100.3</v>
      </c>
      <c r="M47" s="353">
        <f t="shared" si="10"/>
        <v>64782.624777517209</v>
      </c>
      <c r="N47" s="317">
        <f>'ES CT Electric Table A  '!M50</f>
        <v>65282624.777517207</v>
      </c>
      <c r="O47" s="318">
        <f>N47/1000-M47</f>
        <v>500</v>
      </c>
    </row>
    <row r="48" spans="1:15" ht="18" hidden="1" customHeight="1" thickBot="1" x14ac:dyDescent="0.3">
      <c r="B48" s="312"/>
      <c r="C48" s="312"/>
      <c r="D48" s="352" t="s">
        <v>26</v>
      </c>
      <c r="E48" s="354">
        <f>E19+E25*0.2+E26*0.5+E27*0.5+E28*0.2+E32+E22+E37*0.2</f>
        <v>7176.6818968458183</v>
      </c>
      <c r="F48" s="354">
        <f t="shared" ref="F48:M48" si="11">F19+F25*0.2+F26*0.5+F27*0.5+F28*0.2+F32+F22+F37*0.2</f>
        <v>16</v>
      </c>
      <c r="G48" s="354">
        <f t="shared" si="11"/>
        <v>5801.1072750000003</v>
      </c>
      <c r="H48" s="354">
        <f t="shared" si="11"/>
        <v>894.7284800000001</v>
      </c>
      <c r="I48" s="354">
        <f t="shared" si="11"/>
        <v>49619.06002690961</v>
      </c>
      <c r="J48" s="354">
        <f t="shared" si="11"/>
        <v>847.79658561043709</v>
      </c>
      <c r="K48" s="354">
        <f t="shared" si="11"/>
        <v>1210.1934200000001</v>
      </c>
      <c r="L48" s="354">
        <f t="shared" si="11"/>
        <v>151.69999999999999</v>
      </c>
      <c r="M48" s="354">
        <f t="shared" si="11"/>
        <v>65717.267684365856</v>
      </c>
      <c r="N48" s="317">
        <f>'ES CT Electric Table A  '!M51</f>
        <v>66000582.684365869</v>
      </c>
      <c r="O48" s="318">
        <f>N48/1000-M48</f>
        <v>283.31500000001688</v>
      </c>
    </row>
    <row r="49" spans="2:15" ht="18.75" hidden="1" customHeight="1" thickBot="1" x14ac:dyDescent="0.3">
      <c r="B49" s="332"/>
      <c r="C49" s="332"/>
      <c r="D49" s="352" t="s">
        <v>152</v>
      </c>
      <c r="E49" s="354">
        <f>E33+E36+E38+E39+E40+E41+E42+E43+E44</f>
        <v>2057.9930406726889</v>
      </c>
      <c r="F49" s="354">
        <f t="shared" ref="F49:M49" si="12">F33+F36+F38+F39+F40+F41+F42+F43+F44</f>
        <v>2</v>
      </c>
      <c r="G49" s="354">
        <f t="shared" si="12"/>
        <v>5030.8883071983864</v>
      </c>
      <c r="H49" s="354">
        <f t="shared" si="12"/>
        <v>182.4421893200151</v>
      </c>
      <c r="I49" s="354">
        <f t="shared" si="12"/>
        <v>0</v>
      </c>
      <c r="J49" s="354">
        <f t="shared" si="12"/>
        <v>0</v>
      </c>
      <c r="K49" s="354">
        <f t="shared" si="12"/>
        <v>6851.3493876250004</v>
      </c>
      <c r="L49" s="354">
        <f t="shared" si="12"/>
        <v>68</v>
      </c>
      <c r="M49" s="354">
        <f t="shared" si="12"/>
        <v>14192.672924816092</v>
      </c>
      <c r="N49" s="317">
        <f>'ES CT Electric Table A  '!M52</f>
        <v>14231838.537191089</v>
      </c>
      <c r="O49" s="318">
        <f>N49/1000-M49</f>
        <v>39.165612374998091</v>
      </c>
    </row>
    <row r="50" spans="2:15" ht="18.75" thickBot="1" x14ac:dyDescent="0.3">
      <c r="B50" s="314"/>
      <c r="C50" s="314"/>
      <c r="D50" s="340" t="s">
        <v>255</v>
      </c>
      <c r="E50" s="343">
        <f t="shared" ref="E50:L50" si="13">SUM(E47:E49)</f>
        <v>13356.528674056648</v>
      </c>
      <c r="F50" s="343">
        <f t="shared" si="13"/>
        <v>30</v>
      </c>
      <c r="G50" s="343">
        <f t="shared" si="13"/>
        <v>19740.021247198387</v>
      </c>
      <c r="H50" s="343">
        <f t="shared" si="13"/>
        <v>1402.1186693200152</v>
      </c>
      <c r="I50" s="343">
        <f t="shared" si="13"/>
        <v>95765.88259744778</v>
      </c>
      <c r="J50" s="343">
        <f t="shared" si="13"/>
        <v>3894.7239280521858</v>
      </c>
      <c r="K50" s="343">
        <f t="shared" si="13"/>
        <v>10183.290270624135</v>
      </c>
      <c r="L50" s="343">
        <f t="shared" si="13"/>
        <v>320</v>
      </c>
      <c r="M50" s="343">
        <f>SUM(M47:M49)</f>
        <v>144692.56538669916</v>
      </c>
      <c r="N50" s="317">
        <f>'ES CT Electric Table A  '!N53</f>
        <v>144692565.38669917</v>
      </c>
      <c r="O50" s="318">
        <f>N50/1000-M50</f>
        <v>0</v>
      </c>
    </row>
    <row r="51" spans="2:15" ht="20.25" x14ac:dyDescent="0.3">
      <c r="B51" s="135"/>
      <c r="C51" s="135"/>
      <c r="D51" s="136"/>
      <c r="E51" s="137" t="s">
        <v>13</v>
      </c>
      <c r="F51" s="138"/>
      <c r="G51" s="138" t="s">
        <v>13</v>
      </c>
      <c r="H51" s="132"/>
      <c r="I51" s="132"/>
      <c r="J51" s="132"/>
      <c r="K51" s="132"/>
      <c r="L51" s="132"/>
      <c r="M51" s="132"/>
    </row>
    <row r="52" spans="2:15" ht="20.25" x14ac:dyDescent="0.3">
      <c r="B52" s="135"/>
      <c r="C52" s="135"/>
      <c r="D52" s="139" t="s">
        <v>13</v>
      </c>
      <c r="E52" s="138"/>
      <c r="F52" s="138"/>
      <c r="G52" s="138"/>
      <c r="H52" s="132"/>
      <c r="I52" s="132"/>
      <c r="J52" s="132"/>
      <c r="K52" s="132"/>
      <c r="L52" s="132"/>
      <c r="M52" s="140"/>
      <c r="N52" s="133">
        <f>N13+N19+N29+N34+N23+N45</f>
        <v>144692565.38669917</v>
      </c>
    </row>
    <row r="53" spans="2:15" x14ac:dyDescent="0.2">
      <c r="B53" s="141"/>
      <c r="C53" s="141"/>
      <c r="D53" s="142"/>
    </row>
    <row r="54" spans="2:15" x14ac:dyDescent="0.2">
      <c r="B54" s="141"/>
      <c r="C54" s="141"/>
      <c r="D54" s="145"/>
    </row>
    <row r="55" spans="2:15" x14ac:dyDescent="0.2">
      <c r="B55" s="141"/>
      <c r="C55" s="141"/>
    </row>
    <row r="56" spans="2:15" x14ac:dyDescent="0.2">
      <c r="B56" s="141"/>
      <c r="C56" s="141"/>
      <c r="D56" s="134"/>
      <c r="F56" s="143"/>
      <c r="G56" s="143"/>
    </row>
    <row r="57" spans="2:15" x14ac:dyDescent="0.2">
      <c r="B57" s="141"/>
      <c r="C57" s="141"/>
      <c r="D57" s="134"/>
      <c r="F57" s="143"/>
      <c r="G57" s="143"/>
    </row>
    <row r="58" spans="2:15" ht="20.25" x14ac:dyDescent="0.3">
      <c r="B58" s="141"/>
      <c r="C58" s="141"/>
      <c r="D58" s="134"/>
      <c r="E58" s="177"/>
      <c r="F58" s="143"/>
      <c r="G58" s="143"/>
    </row>
    <row r="60" spans="2:15" x14ac:dyDescent="0.2">
      <c r="D60" s="134"/>
      <c r="O60" s="127" t="s">
        <v>13</v>
      </c>
    </row>
    <row r="61" spans="2:15" x14ac:dyDescent="0.2">
      <c r="D61" s="134"/>
    </row>
    <row r="62" spans="2:15" x14ac:dyDescent="0.2">
      <c r="D62" s="134"/>
    </row>
    <row r="63" spans="2:15" x14ac:dyDescent="0.2">
      <c r="D63" s="134"/>
    </row>
    <row r="64" spans="2:15" x14ac:dyDescent="0.2">
      <c r="D64" s="134"/>
    </row>
    <row r="65" spans="4:15" x14ac:dyDescent="0.2">
      <c r="D65" s="134"/>
      <c r="O65" s="127" t="s">
        <v>13</v>
      </c>
    </row>
    <row r="66" spans="4:15" x14ac:dyDescent="0.2">
      <c r="D66" s="134"/>
      <c r="O66" s="127" t="s">
        <v>13</v>
      </c>
    </row>
  </sheetData>
  <mergeCells count="8">
    <mergeCell ref="D30:M30"/>
    <mergeCell ref="D35:M35"/>
    <mergeCell ref="D2:M2"/>
    <mergeCell ref="D3:M3"/>
    <mergeCell ref="D6:M6"/>
    <mergeCell ref="D14:M14"/>
    <mergeCell ref="D20:M20"/>
    <mergeCell ref="D24:M24"/>
  </mergeCells>
  <printOptions horizontalCentered="1" verticalCentered="1"/>
  <pageMargins left="0.43" right="0.31" top="0.2" bottom="0.43" header="0.17" footer="0.18"/>
  <pageSetup scale="49" orientation="landscape"/>
  <headerFooter alignWithMargins="0">
    <oddFooter xml:space="preserve">&amp;C&amp;14
Totals may vary due to rounding&amp;12
</odd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6C29-9587-4B42-81B2-96D661320E65}">
  <sheetPr>
    <tabColor theme="9" tint="0.39997558519241921"/>
    <pageSetUpPr fitToPage="1"/>
  </sheetPr>
  <dimension ref="B2:I48"/>
  <sheetViews>
    <sheetView showGridLines="0" topLeftCell="A32" zoomScale="90" zoomScaleNormal="90" workbookViewId="0">
      <selection activeCell="C36" sqref="C36:D36"/>
    </sheetView>
  </sheetViews>
  <sheetFormatPr defaultRowHeight="12.75" x14ac:dyDescent="0.2"/>
  <cols>
    <col min="2" max="2" width="35.28515625" customWidth="1"/>
    <col min="3" max="3" width="11.42578125" customWidth="1"/>
    <col min="4" max="4" width="5.5703125" customWidth="1"/>
    <col min="5" max="5" width="17.42578125" customWidth="1"/>
    <col min="6" max="6" width="22.7109375" customWidth="1"/>
    <col min="7" max="7" width="19.140625" customWidth="1"/>
  </cols>
  <sheetData>
    <row r="2" spans="2:9" ht="23.25" x14ac:dyDescent="0.35">
      <c r="B2" s="869" t="s">
        <v>176</v>
      </c>
      <c r="C2" s="869"/>
      <c r="D2" s="869"/>
      <c r="E2" s="869"/>
      <c r="F2" s="869"/>
      <c r="G2" s="18"/>
    </row>
    <row r="3" spans="2:9" ht="23.25" x14ac:dyDescent="0.35">
      <c r="B3" s="869" t="s">
        <v>408</v>
      </c>
      <c r="C3" s="869"/>
      <c r="D3" s="869"/>
      <c r="E3" s="869"/>
      <c r="F3" s="869"/>
      <c r="G3" s="18"/>
    </row>
    <row r="4" spans="2:9" ht="23.25" x14ac:dyDescent="0.35">
      <c r="B4" s="869" t="s">
        <v>209</v>
      </c>
      <c r="C4" s="869"/>
      <c r="D4" s="869"/>
      <c r="E4" s="869"/>
      <c r="F4" s="869"/>
      <c r="G4" s="18"/>
    </row>
    <row r="5" spans="2:9" ht="23.25" x14ac:dyDescent="0.35">
      <c r="B5" s="869" t="s">
        <v>128</v>
      </c>
      <c r="C5" s="869"/>
      <c r="D5" s="869"/>
      <c r="E5" s="869"/>
      <c r="F5" s="869"/>
      <c r="G5" s="18"/>
    </row>
    <row r="16" spans="2:9" x14ac:dyDescent="0.2">
      <c r="I16" s="90"/>
    </row>
    <row r="34" spans="2:5" ht="36.75" customHeight="1" x14ac:dyDescent="0.25">
      <c r="B34" s="517" t="s">
        <v>36</v>
      </c>
      <c r="C34" s="942" t="s">
        <v>10</v>
      </c>
      <c r="D34" s="943"/>
      <c r="E34" s="515" t="s">
        <v>304</v>
      </c>
    </row>
    <row r="35" spans="2:5" ht="16.5" x14ac:dyDescent="0.25">
      <c r="B35" s="939"/>
      <c r="C35" s="940"/>
      <c r="D35" s="940"/>
      <c r="E35" s="941"/>
    </row>
    <row r="36" spans="2:5" ht="21" customHeight="1" x14ac:dyDescent="0.25">
      <c r="B36" s="518" t="s">
        <v>157</v>
      </c>
      <c r="C36" s="944">
        <f>'ES CT Electric 2023 Table C '!E50</f>
        <v>13356.528674056648</v>
      </c>
      <c r="D36" s="945"/>
      <c r="E36" s="480">
        <f t="shared" ref="E36:E42" si="0">SUM(C36/$C$45)</f>
        <v>9.2309709475124471E-2</v>
      </c>
    </row>
    <row r="37" spans="2:5" ht="18.75" customHeight="1" x14ac:dyDescent="0.25">
      <c r="B37" s="518" t="s">
        <v>37</v>
      </c>
      <c r="C37" s="944">
        <f>'ES CT Electric 2023 Table C '!F50</f>
        <v>30</v>
      </c>
      <c r="D37" s="945"/>
      <c r="E37" s="480">
        <f t="shared" si="0"/>
        <v>2.0733615386404471E-4</v>
      </c>
    </row>
    <row r="38" spans="2:5" ht="21" customHeight="1" x14ac:dyDescent="0.25">
      <c r="B38" s="518" t="s">
        <v>14</v>
      </c>
      <c r="C38" s="944">
        <f>'ES CT Electric 2023 Table C '!G50</f>
        <v>19740.021247198387</v>
      </c>
      <c r="D38" s="945"/>
      <c r="E38" s="480">
        <f t="shared" si="0"/>
        <v>0.13642733608628788</v>
      </c>
    </row>
    <row r="39" spans="2:5" ht="20.25" customHeight="1" x14ac:dyDescent="0.25">
      <c r="B39" s="518" t="s">
        <v>61</v>
      </c>
      <c r="C39" s="944">
        <f>'ES CT Electric 2023 Table C '!H50</f>
        <v>1402.1186693200152</v>
      </c>
      <c r="D39" s="945"/>
      <c r="E39" s="480">
        <f t="shared" si="0"/>
        <v>9.6903297385928094E-3</v>
      </c>
    </row>
    <row r="40" spans="2:5" ht="21" customHeight="1" x14ac:dyDescent="0.25">
      <c r="B40" s="518" t="s">
        <v>12</v>
      </c>
      <c r="C40" s="944">
        <f>'ES CT Electric 2023 Table C '!I50</f>
        <v>95765.88259744778</v>
      </c>
      <c r="D40" s="945"/>
      <c r="E40" s="480">
        <f t="shared" si="0"/>
        <v>0.66185765897168247</v>
      </c>
    </row>
    <row r="41" spans="2:5" ht="24" customHeight="1" x14ac:dyDescent="0.25">
      <c r="B41" s="518" t="s">
        <v>33</v>
      </c>
      <c r="C41" s="944">
        <f>'ES CT Electric 2023 Table C '!J50</f>
        <v>3894.7239280521858</v>
      </c>
      <c r="D41" s="945"/>
      <c r="E41" s="480">
        <f t="shared" si="0"/>
        <v>2.6917235986820151E-2</v>
      </c>
    </row>
    <row r="42" spans="2:5" ht="21" customHeight="1" x14ac:dyDescent="0.25">
      <c r="B42" s="518" t="s">
        <v>38</v>
      </c>
      <c r="C42" s="944">
        <f>'ES CT Electric 2023 Table C '!K50</f>
        <v>10183.290270624135</v>
      </c>
      <c r="D42" s="945"/>
      <c r="E42" s="480">
        <f t="shared" si="0"/>
        <v>7.0378807946411839E-2</v>
      </c>
    </row>
    <row r="43" spans="2:5" ht="18.75" x14ac:dyDescent="0.4">
      <c r="B43" s="518" t="s">
        <v>34</v>
      </c>
      <c r="C43" s="946">
        <f>'ES CT Electric 2023 Table C '!L50</f>
        <v>320</v>
      </c>
      <c r="D43" s="947"/>
      <c r="E43" s="516">
        <f>SUM(C43/$C$45)</f>
        <v>2.2115856412164769E-3</v>
      </c>
    </row>
    <row r="44" spans="2:5" ht="18.75" customHeight="1" x14ac:dyDescent="0.25">
      <c r="B44" s="865"/>
      <c r="C44" s="866"/>
      <c r="D44" s="866"/>
      <c r="E44" s="867"/>
    </row>
    <row r="45" spans="2:5" ht="16.5" x14ac:dyDescent="0.25">
      <c r="B45" s="512" t="s">
        <v>9</v>
      </c>
      <c r="C45" s="948">
        <f>SUM(C36:C43)</f>
        <v>144692.56538669913</v>
      </c>
      <c r="D45" s="949"/>
      <c r="E45" s="484">
        <f>SUM(E36:E43)</f>
        <v>1</v>
      </c>
    </row>
    <row r="46" spans="2:5" ht="18" x14ac:dyDescent="0.25">
      <c r="B46" s="261"/>
      <c r="C46" s="261"/>
      <c r="D46" s="261"/>
      <c r="E46" s="261"/>
    </row>
    <row r="47" spans="2:5" ht="18" x14ac:dyDescent="0.25">
      <c r="B47" s="261"/>
      <c r="C47" s="261"/>
      <c r="D47" s="261"/>
      <c r="E47" s="261"/>
    </row>
    <row r="48" spans="2:5" ht="18" x14ac:dyDescent="0.25">
      <c r="B48" s="261"/>
      <c r="C48" s="261"/>
      <c r="D48" s="261"/>
      <c r="E48" s="261"/>
    </row>
  </sheetData>
  <mergeCells count="16">
    <mergeCell ref="B35:E35"/>
    <mergeCell ref="B2:F2"/>
    <mergeCell ref="B3:F3"/>
    <mergeCell ref="B4:F4"/>
    <mergeCell ref="B5:F5"/>
    <mergeCell ref="C34:D34"/>
    <mergeCell ref="C42:D42"/>
    <mergeCell ref="C43:D43"/>
    <mergeCell ref="B44:E44"/>
    <mergeCell ref="C45:D45"/>
    <mergeCell ref="C36:D36"/>
    <mergeCell ref="C37:D37"/>
    <mergeCell ref="C38:D38"/>
    <mergeCell ref="C39:D39"/>
    <mergeCell ref="C40:D40"/>
    <mergeCell ref="C41:D41"/>
  </mergeCells>
  <pageMargins left="0.75" right="0.75" top="1" bottom="1" header="0.5" footer="0.5"/>
  <pageSetup scale="90" orientation="portrait"/>
  <headerFooter alignWithMargins="0">
    <oddHeader xml:space="preserve">&amp;R
</oddHeader>
    <oddFooter xml:space="preserve">&amp;CTotals may vary due to rounding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75E7-760F-408D-9984-89EB97C0CC5B}">
  <sheetPr>
    <tabColor theme="9" tint="0.39997558519241921"/>
    <pageSetUpPr fitToPage="1"/>
  </sheetPr>
  <dimension ref="A2:BR66"/>
  <sheetViews>
    <sheetView showGridLines="0" topLeftCell="E1" zoomScale="90" zoomScaleNormal="90" workbookViewId="0">
      <pane ySplit="5" topLeftCell="A6" activePane="bottomLeft" state="frozen"/>
      <selection activeCell="C1" sqref="C1"/>
      <selection pane="bottomLeft" activeCell="N50" sqref="N50"/>
    </sheetView>
  </sheetViews>
  <sheetFormatPr defaultColWidth="9.140625" defaultRowHeight="12.75" x14ac:dyDescent="0.2"/>
  <cols>
    <col min="1" max="1" width="4.85546875" style="126" hidden="1" customWidth="1"/>
    <col min="2" max="2" width="7" style="126" hidden="1" customWidth="1"/>
    <col min="3" max="3" width="7" style="126" customWidth="1"/>
    <col min="4" max="4" width="63.5703125" style="126" customWidth="1"/>
    <col min="5" max="5" width="13.140625" style="143" bestFit="1" customWidth="1"/>
    <col min="6" max="6" width="15.7109375" style="144" customWidth="1"/>
    <col min="7" max="7" width="18.5703125" style="144" customWidth="1"/>
    <col min="8" max="8" width="16.42578125" style="126" bestFit="1" customWidth="1"/>
    <col min="9" max="9" width="15.7109375" style="126" bestFit="1" customWidth="1"/>
    <col min="10" max="10" width="15.42578125" style="126" bestFit="1" customWidth="1"/>
    <col min="11" max="11" width="19.85546875" style="126" bestFit="1" customWidth="1"/>
    <col min="12" max="12" width="21.140625" style="126" customWidth="1"/>
    <col min="13" max="13" width="14.85546875" style="126" bestFit="1" customWidth="1"/>
    <col min="14" max="14" width="20.42578125" style="126" bestFit="1" customWidth="1"/>
    <col min="15" max="15" width="21.5703125" style="127" customWidth="1"/>
    <col min="16" max="16" width="13.140625" style="126" customWidth="1"/>
    <col min="17" max="17" width="12.140625" style="126" customWidth="1"/>
    <col min="18" max="18" width="12.5703125" style="126" customWidth="1"/>
    <col min="19" max="19" width="11.7109375" style="126" customWidth="1"/>
    <col min="20" max="20" width="9.140625" style="126" customWidth="1"/>
    <col min="21" max="21" width="19.42578125" style="126" customWidth="1"/>
    <col min="22" max="22" width="18" style="126" customWidth="1"/>
    <col min="23" max="37" width="9.140625" style="126" customWidth="1"/>
    <col min="38" max="16384" width="9.140625" style="126"/>
  </cols>
  <sheetData>
    <row r="2" spans="2:70" s="125" customFormat="1" ht="27.75" customHeight="1" x14ac:dyDescent="0.45">
      <c r="B2" s="118"/>
      <c r="C2" s="118"/>
      <c r="D2" s="937" t="s">
        <v>171</v>
      </c>
      <c r="E2" s="937"/>
      <c r="F2" s="937"/>
      <c r="G2" s="937"/>
      <c r="H2" s="937"/>
      <c r="I2" s="937"/>
      <c r="J2" s="937"/>
      <c r="K2" s="937"/>
      <c r="L2" s="937"/>
      <c r="M2" s="937"/>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119"/>
      <c r="BK2" s="119"/>
      <c r="BL2" s="119"/>
      <c r="BM2" s="119"/>
      <c r="BN2" s="120"/>
      <c r="BO2" s="121" t="s">
        <v>156</v>
      </c>
      <c r="BP2" s="122">
        <v>3000428</v>
      </c>
      <c r="BQ2" s="123"/>
      <c r="BR2" s="124"/>
    </row>
    <row r="3" spans="2:70" ht="23.25" x14ac:dyDescent="0.35">
      <c r="D3" s="937" t="s">
        <v>409</v>
      </c>
      <c r="E3" s="937"/>
      <c r="F3" s="937"/>
      <c r="G3" s="937"/>
      <c r="H3" s="937"/>
      <c r="I3" s="937"/>
      <c r="J3" s="937"/>
      <c r="K3" s="937"/>
      <c r="L3" s="937"/>
      <c r="M3" s="937"/>
    </row>
    <row r="4" spans="2:70" ht="16.5" customHeight="1" thickBot="1" x14ac:dyDescent="0.3">
      <c r="D4" s="128"/>
      <c r="E4" s="129"/>
      <c r="F4" s="130"/>
      <c r="G4" s="130"/>
      <c r="H4" s="131"/>
      <c r="I4" s="131"/>
      <c r="J4" s="131"/>
      <c r="K4" s="131"/>
      <c r="L4" s="131"/>
      <c r="M4" s="131"/>
    </row>
    <row r="5" spans="2:70" ht="55.5" thickBot="1" x14ac:dyDescent="0.35">
      <c r="B5" s="132"/>
      <c r="C5" s="132"/>
      <c r="D5" s="333" t="s">
        <v>301</v>
      </c>
      <c r="E5" s="334" t="s">
        <v>157</v>
      </c>
      <c r="F5" s="334" t="s">
        <v>32</v>
      </c>
      <c r="G5" s="334" t="s">
        <v>14</v>
      </c>
      <c r="H5" s="334" t="s">
        <v>61</v>
      </c>
      <c r="I5" s="334" t="s">
        <v>12</v>
      </c>
      <c r="J5" s="334" t="s">
        <v>33</v>
      </c>
      <c r="K5" s="334" t="s">
        <v>38</v>
      </c>
      <c r="L5" s="334" t="s">
        <v>34</v>
      </c>
      <c r="M5" s="334" t="s">
        <v>35</v>
      </c>
      <c r="Q5" s="182"/>
      <c r="R5" s="180"/>
      <c r="S5" s="180"/>
      <c r="U5" s="182"/>
      <c r="V5" s="180"/>
    </row>
    <row r="6" spans="2:70" ht="21" thickBot="1" x14ac:dyDescent="0.35">
      <c r="B6" s="132"/>
      <c r="C6" s="132"/>
      <c r="D6" s="935" t="s">
        <v>15</v>
      </c>
      <c r="E6" s="935"/>
      <c r="F6" s="935"/>
      <c r="G6" s="935"/>
      <c r="H6" s="935"/>
      <c r="I6" s="935"/>
      <c r="J6" s="935"/>
      <c r="K6" s="935"/>
      <c r="L6" s="935"/>
      <c r="M6" s="935"/>
      <c r="Q6" s="180"/>
      <c r="R6" s="180"/>
      <c r="S6" s="180"/>
    </row>
    <row r="7" spans="2:70" ht="19.5" thickBot="1" x14ac:dyDescent="0.35">
      <c r="B7" s="314" t="s">
        <v>29</v>
      </c>
      <c r="C7" s="314"/>
      <c r="D7" s="335" t="s">
        <v>114</v>
      </c>
      <c r="E7" s="336">
        <f>140.6421262444*1.03*1.03*1.03</f>
        <v>153.68344868466448</v>
      </c>
      <c r="F7" s="336">
        <v>1</v>
      </c>
      <c r="G7" s="337">
        <f>800+400-300</f>
        <v>900</v>
      </c>
      <c r="H7" s="336">
        <v>27</v>
      </c>
      <c r="I7" s="336">
        <f>N7/1000-E7-F7-G7-H7-J7-K7-L7</f>
        <v>1633.2165513153354</v>
      </c>
      <c r="J7" s="337">
        <f>656.1-100</f>
        <v>556.1</v>
      </c>
      <c r="K7" s="336">
        <v>20</v>
      </c>
      <c r="L7" s="336">
        <v>9</v>
      </c>
      <c r="M7" s="338">
        <f t="shared" ref="M7:M12" si="0">SUM(E7:L7)</f>
        <v>3299.9999999999995</v>
      </c>
      <c r="N7" s="317">
        <f>'ES CT Electric Table A  '!Q10</f>
        <v>3300000</v>
      </c>
      <c r="O7" s="318">
        <f t="shared" ref="O7:O13" si="1">N7/1000-M7</f>
        <v>0</v>
      </c>
      <c r="Q7" s="181"/>
      <c r="R7" s="181"/>
      <c r="S7" s="181"/>
      <c r="U7" s="183"/>
      <c r="V7" s="183"/>
    </row>
    <row r="8" spans="2:70" s="134" customFormat="1" ht="19.5" thickBot="1" x14ac:dyDescent="0.35">
      <c r="B8" s="314" t="s">
        <v>29</v>
      </c>
      <c r="C8" s="314"/>
      <c r="D8" s="335" t="s">
        <v>115</v>
      </c>
      <c r="E8" s="325">
        <f>186.73816807792*1.03*1.03*1.03</f>
        <v>204.05383818928129</v>
      </c>
      <c r="F8" s="325">
        <v>1</v>
      </c>
      <c r="G8" s="325">
        <f>100+100</f>
        <v>200</v>
      </c>
      <c r="H8" s="325">
        <v>2</v>
      </c>
      <c r="I8" s="336">
        <f>N8/1000-E8-F8-G8-H8-J8-K8-L8</f>
        <v>2971.4321618107192</v>
      </c>
      <c r="J8" s="325">
        <f>43.2+35</f>
        <v>78.2</v>
      </c>
      <c r="K8" s="325">
        <v>17.100000000000001</v>
      </c>
      <c r="L8" s="325">
        <v>9</v>
      </c>
      <c r="M8" s="338">
        <f t="shared" si="0"/>
        <v>3482.7860000000001</v>
      </c>
      <c r="N8" s="317">
        <f>'ES CT Electric Table A  '!Q11</f>
        <v>3482786</v>
      </c>
      <c r="O8" s="318">
        <f t="shared" si="1"/>
        <v>0</v>
      </c>
      <c r="Q8" s="181"/>
      <c r="R8" s="181"/>
      <c r="S8" s="181"/>
      <c r="U8" s="183"/>
      <c r="V8" s="183"/>
    </row>
    <row r="9" spans="2:70" ht="19.5" thickBot="1" x14ac:dyDescent="0.35">
      <c r="B9" s="320" t="s">
        <v>29</v>
      </c>
      <c r="C9" s="320"/>
      <c r="D9" s="335" t="s">
        <v>519</v>
      </c>
      <c r="E9" s="325">
        <f>1508.1497667088*1.03*1.03*1.03</f>
        <v>1647.995970126407</v>
      </c>
      <c r="F9" s="336">
        <v>4</v>
      </c>
      <c r="G9" s="336">
        <f>1095.732+50+2000</f>
        <v>3145.732</v>
      </c>
      <c r="H9" s="325">
        <v>100.148</v>
      </c>
      <c r="I9" s="336">
        <f>N9/1000-E9-F9-G9-H9-J9-K9-L9</f>
        <v>15482.655729873592</v>
      </c>
      <c r="J9" s="336">
        <v>750</v>
      </c>
      <c r="K9" s="336">
        <v>40</v>
      </c>
      <c r="L9" s="336">
        <v>20</v>
      </c>
      <c r="M9" s="339">
        <f t="shared" si="0"/>
        <v>21190.5317</v>
      </c>
      <c r="N9" s="317">
        <f>'ES CT Electric Table A  '!Q12</f>
        <v>21190531.699999999</v>
      </c>
      <c r="O9" s="318">
        <f t="shared" si="1"/>
        <v>0</v>
      </c>
      <c r="Q9" s="181"/>
      <c r="R9" s="181"/>
      <c r="S9" s="181"/>
      <c r="U9" s="183"/>
      <c r="V9" s="183"/>
    </row>
    <row r="10" spans="2:70" ht="19.5" thickBot="1" x14ac:dyDescent="0.35">
      <c r="B10" s="320" t="s">
        <v>29</v>
      </c>
      <c r="C10" s="320"/>
      <c r="D10" s="335" t="s">
        <v>520</v>
      </c>
      <c r="E10" s="325">
        <f>118.931215235328*1.03*1.03*1.03</f>
        <v>129.95935003045426</v>
      </c>
      <c r="F10" s="336">
        <v>1</v>
      </c>
      <c r="G10" s="336">
        <f>500+700-6</f>
        <v>1194</v>
      </c>
      <c r="H10" s="325">
        <v>20</v>
      </c>
      <c r="I10" s="336">
        <f>N10/1000-E10-F10-G10-H10-J10-K10-L10</f>
        <v>11834.668649969546</v>
      </c>
      <c r="J10" s="336">
        <f>191+100</f>
        <v>291</v>
      </c>
      <c r="K10" s="336">
        <v>18</v>
      </c>
      <c r="L10" s="336">
        <v>18</v>
      </c>
      <c r="M10" s="339">
        <f t="shared" si="0"/>
        <v>13506.628000000001</v>
      </c>
      <c r="N10" s="317">
        <f>'ES CT Electric Table A  '!Q13</f>
        <v>13506628</v>
      </c>
      <c r="O10" s="318">
        <f t="shared" si="1"/>
        <v>0</v>
      </c>
      <c r="Q10" s="181"/>
      <c r="R10" s="181"/>
      <c r="S10" s="181"/>
      <c r="U10" s="183"/>
      <c r="V10" s="183"/>
    </row>
    <row r="11" spans="2:70" ht="19.5" thickBot="1" x14ac:dyDescent="0.35">
      <c r="B11" s="314" t="s">
        <v>29</v>
      </c>
      <c r="C11" s="314"/>
      <c r="D11" s="335" t="s">
        <v>276</v>
      </c>
      <c r="E11" s="325">
        <f>1642.24284432752*1.03*1.03*1.03</f>
        <v>1794.5230965534781</v>
      </c>
      <c r="F11" s="336">
        <v>5</v>
      </c>
      <c r="G11" s="336">
        <f>600+50+600</f>
        <v>1250</v>
      </c>
      <c r="H11" s="325">
        <v>163</v>
      </c>
      <c r="I11" s="336">
        <f>N11/1000-E11-F11-G11-H11-J11-K11-L11</f>
        <v>11709.628175522843</v>
      </c>
      <c r="J11" s="336">
        <v>750</v>
      </c>
      <c r="K11" s="336">
        <v>25.873727923679802</v>
      </c>
      <c r="L11" s="336">
        <v>34</v>
      </c>
      <c r="M11" s="339">
        <f t="shared" si="0"/>
        <v>15732.025</v>
      </c>
      <c r="N11" s="317">
        <f>'ES CT Electric Table A  '!Q14</f>
        <v>15732025</v>
      </c>
      <c r="O11" s="318">
        <f t="shared" si="1"/>
        <v>0</v>
      </c>
      <c r="Q11" s="181"/>
      <c r="R11" s="181"/>
      <c r="S11" s="181"/>
      <c r="U11" s="183"/>
      <c r="V11" s="183"/>
    </row>
    <row r="12" spans="2:70" ht="19.5" thickBot="1" x14ac:dyDescent="0.35">
      <c r="B12" s="314" t="s">
        <v>29</v>
      </c>
      <c r="C12" s="314"/>
      <c r="D12" s="335" t="s">
        <v>140</v>
      </c>
      <c r="E12" s="325">
        <v>0</v>
      </c>
      <c r="F12" s="336">
        <v>0</v>
      </c>
      <c r="G12" s="337">
        <f>SUM(N12/1000-E12-F12-H12-I12-J12-K12-L12)</f>
        <v>90</v>
      </c>
      <c r="H12" s="325">
        <v>0</v>
      </c>
      <c r="I12" s="325">
        <v>0</v>
      </c>
      <c r="J12" s="336">
        <v>0</v>
      </c>
      <c r="K12" s="336">
        <v>0</v>
      </c>
      <c r="L12" s="336">
        <v>0</v>
      </c>
      <c r="M12" s="339">
        <f t="shared" si="0"/>
        <v>90</v>
      </c>
      <c r="N12" s="317">
        <f>'ES CT Electric Table A  '!Q15</f>
        <v>90000</v>
      </c>
      <c r="O12" s="318">
        <f t="shared" si="1"/>
        <v>0</v>
      </c>
      <c r="Q12" s="181"/>
      <c r="R12" s="181"/>
      <c r="S12" s="181"/>
      <c r="U12" s="183"/>
      <c r="V12" s="183"/>
    </row>
    <row r="13" spans="2:70" ht="19.5" thickBot="1" x14ac:dyDescent="0.35">
      <c r="B13" s="320"/>
      <c r="C13" s="320"/>
      <c r="D13" s="340" t="s">
        <v>291</v>
      </c>
      <c r="E13" s="341">
        <f>SUM(E7:E12)</f>
        <v>3930.2157035842847</v>
      </c>
      <c r="F13" s="341">
        <f t="shared" ref="F13:M13" si="2">SUM(F7:F12)</f>
        <v>12</v>
      </c>
      <c r="G13" s="341">
        <f t="shared" si="2"/>
        <v>6779.732</v>
      </c>
      <c r="H13" s="341">
        <f t="shared" si="2"/>
        <v>312.14800000000002</v>
      </c>
      <c r="I13" s="341">
        <f t="shared" si="2"/>
        <v>43631.601268492035</v>
      </c>
      <c r="J13" s="341">
        <f t="shared" si="2"/>
        <v>2425.3000000000002</v>
      </c>
      <c r="K13" s="341">
        <f t="shared" si="2"/>
        <v>120.9737279236798</v>
      </c>
      <c r="L13" s="341">
        <f t="shared" si="2"/>
        <v>90</v>
      </c>
      <c r="M13" s="341">
        <f t="shared" si="2"/>
        <v>57301.970699999998</v>
      </c>
      <c r="N13" s="317">
        <f>'ES CT Electric Table A  '!Q16</f>
        <v>57301970.700000003</v>
      </c>
      <c r="O13" s="318">
        <f t="shared" si="1"/>
        <v>0</v>
      </c>
      <c r="Q13" s="181"/>
      <c r="R13" s="181"/>
      <c r="S13" s="181"/>
      <c r="U13" s="180"/>
      <c r="V13" s="180"/>
    </row>
    <row r="14" spans="2:70" ht="19.5" thickBot="1" x14ac:dyDescent="0.35">
      <c r="B14" s="320"/>
      <c r="C14" s="320"/>
      <c r="D14" s="936" t="s">
        <v>16</v>
      </c>
      <c r="E14" s="936"/>
      <c r="F14" s="936"/>
      <c r="G14" s="936"/>
      <c r="H14" s="936"/>
      <c r="I14" s="936"/>
      <c r="J14" s="936"/>
      <c r="K14" s="936"/>
      <c r="L14" s="936"/>
      <c r="M14" s="936"/>
      <c r="N14" s="317"/>
      <c r="O14" s="313"/>
      <c r="Q14" s="181"/>
      <c r="R14" s="181"/>
      <c r="S14" s="181"/>
      <c r="U14" s="180"/>
      <c r="V14" s="180"/>
    </row>
    <row r="15" spans="2:70" ht="19.5" thickBot="1" x14ac:dyDescent="0.35">
      <c r="B15" s="314" t="s">
        <v>30</v>
      </c>
      <c r="C15" s="314"/>
      <c r="D15" s="322" t="s">
        <v>116</v>
      </c>
      <c r="E15" s="323">
        <f>1007.21299305998*1.03*1.03*1.03</f>
        <v>1100.6088322674527</v>
      </c>
      <c r="F15" s="323">
        <v>4</v>
      </c>
      <c r="G15" s="324">
        <v>600.76199999999994</v>
      </c>
      <c r="H15" s="325">
        <v>152.33856</v>
      </c>
      <c r="I15" s="315">
        <f>N15/1000-E15-F15-G15-H15-J15-K15-L15</f>
        <v>8905.9240629842479</v>
      </c>
      <c r="J15" s="323">
        <v>100</v>
      </c>
      <c r="K15" s="323">
        <v>27</v>
      </c>
      <c r="L15" s="323">
        <v>10</v>
      </c>
      <c r="M15" s="316">
        <f>SUM(E15:L15)</f>
        <v>10900.6334552517</v>
      </c>
      <c r="N15" s="317">
        <f>'ES CT Electric Table A  '!Q18</f>
        <v>10900633.455251701</v>
      </c>
      <c r="O15" s="326">
        <f>N15/1000-M15</f>
        <v>0</v>
      </c>
      <c r="Q15" s="181"/>
      <c r="R15" s="181"/>
      <c r="S15" s="181"/>
      <c r="U15" s="183"/>
      <c r="V15" s="183"/>
    </row>
    <row r="16" spans="2:70" ht="19.5" thickBot="1" x14ac:dyDescent="0.35">
      <c r="B16" s="314" t="s">
        <v>30</v>
      </c>
      <c r="C16" s="314"/>
      <c r="D16" s="335" t="s">
        <v>127</v>
      </c>
      <c r="E16" s="325">
        <f>3971.62715061551*1.03*1.03*1.03</f>
        <v>4339.9042214106339</v>
      </c>
      <c r="F16" s="325">
        <v>5</v>
      </c>
      <c r="G16" s="344">
        <f>1900+300+100</f>
        <v>2300</v>
      </c>
      <c r="H16" s="325">
        <v>588.18992000000003</v>
      </c>
      <c r="I16" s="336">
        <f>N16/1000-E16-F16-G16-H16-J16-K16-L16</f>
        <v>25197.939032254966</v>
      </c>
      <c r="J16" s="325">
        <v>250</v>
      </c>
      <c r="K16" s="325">
        <v>150</v>
      </c>
      <c r="L16" s="344">
        <v>90</v>
      </c>
      <c r="M16" s="338">
        <f>SUM(E16:L16)</f>
        <v>32921.033173665601</v>
      </c>
      <c r="N16" s="317">
        <f>'ES CT Electric Table A  '!Q19</f>
        <v>32921033.173665602</v>
      </c>
      <c r="O16" s="326">
        <f>N16/1000-M16</f>
        <v>0</v>
      </c>
      <c r="Q16" s="181"/>
      <c r="R16" s="181"/>
      <c r="S16" s="181"/>
      <c r="U16" s="183"/>
      <c r="V16" s="183"/>
    </row>
    <row r="17" spans="2:35" ht="37.5" thickBot="1" x14ac:dyDescent="0.35">
      <c r="B17" s="314" t="s">
        <v>30</v>
      </c>
      <c r="C17" s="314"/>
      <c r="D17" s="355" t="s">
        <v>435</v>
      </c>
      <c r="E17" s="325">
        <f>176.13*1.03*1.03*1.03</f>
        <v>192.46200651000004</v>
      </c>
      <c r="F17" s="325">
        <v>2</v>
      </c>
      <c r="G17" s="344">
        <v>798.14</v>
      </c>
      <c r="H17" s="325">
        <v>2</v>
      </c>
      <c r="I17" s="336">
        <f>N17/1000-E17-F17-G17-H17-J17-K17-L17</f>
        <v>2279.5703947645302</v>
      </c>
      <c r="J17" s="325">
        <v>50</v>
      </c>
      <c r="K17" s="325">
        <v>6</v>
      </c>
      <c r="L17" s="325">
        <v>22</v>
      </c>
      <c r="M17" s="346">
        <f>SUM(E17:L17)</f>
        <v>3352.1724012745303</v>
      </c>
      <c r="N17" s="317">
        <f>'ES CT Electric Table A  '!Q20</f>
        <v>3352172.4012745302</v>
      </c>
      <c r="O17" s="326">
        <f>N17/1000-M17</f>
        <v>0</v>
      </c>
      <c r="Q17" s="181"/>
      <c r="R17" s="181"/>
      <c r="S17" s="181"/>
      <c r="U17" s="183"/>
      <c r="V17" s="183"/>
    </row>
    <row r="18" spans="2:35" ht="19.5" thickBot="1" x14ac:dyDescent="0.35">
      <c r="B18" s="314" t="s">
        <v>30</v>
      </c>
      <c r="C18" s="314"/>
      <c r="D18" s="335" t="s">
        <v>126</v>
      </c>
      <c r="E18" s="325">
        <f>1385.65590198934*1.03*1.03*1.03</f>
        <v>1514.1436168131058</v>
      </c>
      <c r="F18" s="325">
        <v>5</v>
      </c>
      <c r="G18" s="325">
        <v>400</v>
      </c>
      <c r="H18" s="325">
        <v>144</v>
      </c>
      <c r="I18" s="336">
        <f>N18/1000-E18-F18-G18-H18-J18-K18-L18</f>
        <v>10053.010031750495</v>
      </c>
      <c r="J18" s="325">
        <v>200</v>
      </c>
      <c r="K18" s="325">
        <v>27</v>
      </c>
      <c r="L18" s="325">
        <v>20</v>
      </c>
      <c r="M18" s="346">
        <f>SUM(E18:L18)</f>
        <v>12363.153648563601</v>
      </c>
      <c r="N18" s="317">
        <f>'ES CT Electric Table A  '!Q21</f>
        <v>12363153.648563601</v>
      </c>
      <c r="O18" s="326">
        <f>N18/1000-M18</f>
        <v>0</v>
      </c>
      <c r="Q18" s="181"/>
      <c r="R18" s="181"/>
      <c r="S18" s="181"/>
      <c r="U18" s="183"/>
      <c r="V18" s="183"/>
    </row>
    <row r="19" spans="2:35" ht="18.75" thickBot="1" x14ac:dyDescent="0.3">
      <c r="B19" s="314"/>
      <c r="C19" s="314"/>
      <c r="D19" s="340" t="s">
        <v>296</v>
      </c>
      <c r="E19" s="343">
        <f>SUM(E15:E18)</f>
        <v>7147.1186770011927</v>
      </c>
      <c r="F19" s="343">
        <f t="shared" ref="F19:M19" si="3">SUM(F15:F18)</f>
        <v>16</v>
      </c>
      <c r="G19" s="343">
        <f t="shared" si="3"/>
        <v>4098.902</v>
      </c>
      <c r="H19" s="343">
        <f t="shared" si="3"/>
        <v>886.52848000000006</v>
      </c>
      <c r="I19" s="343">
        <f t="shared" si="3"/>
        <v>46436.443521754234</v>
      </c>
      <c r="J19" s="343">
        <f t="shared" si="3"/>
        <v>600</v>
      </c>
      <c r="K19" s="343">
        <f t="shared" si="3"/>
        <v>210</v>
      </c>
      <c r="L19" s="343">
        <f t="shared" si="3"/>
        <v>142</v>
      </c>
      <c r="M19" s="343">
        <f t="shared" si="3"/>
        <v>59536.992678755436</v>
      </c>
      <c r="N19" s="317">
        <f>'ES CT Electric Table A  '!Q22</f>
        <v>59536992.67875544</v>
      </c>
      <c r="O19" s="326">
        <f>N19/1000-M19</f>
        <v>0</v>
      </c>
    </row>
    <row r="20" spans="2:35" ht="18.75" thickBot="1" x14ac:dyDescent="0.3">
      <c r="B20" s="314"/>
      <c r="C20" s="314"/>
      <c r="D20" s="935" t="s">
        <v>41</v>
      </c>
      <c r="E20" s="936"/>
      <c r="F20" s="936"/>
      <c r="G20" s="936"/>
      <c r="H20" s="936"/>
      <c r="I20" s="936"/>
      <c r="J20" s="936"/>
      <c r="K20" s="936"/>
      <c r="L20" s="936"/>
      <c r="M20" s="936"/>
      <c r="N20" s="317"/>
      <c r="O20" s="313"/>
    </row>
    <row r="21" spans="2:35" ht="18" x14ac:dyDescent="0.25">
      <c r="B21" s="314"/>
      <c r="C21" s="314"/>
      <c r="D21" s="328" t="s">
        <v>256</v>
      </c>
      <c r="E21" s="319">
        <f>159.65*1.03*1.03*1.03</f>
        <v>174.45386555000002</v>
      </c>
      <c r="F21" s="319">
        <v>0</v>
      </c>
      <c r="G21" s="319">
        <f>N21/1000-E21-F21-H21-I21-J21-K21-L21</f>
        <v>679.95413445000042</v>
      </c>
      <c r="H21" s="319">
        <v>0</v>
      </c>
      <c r="I21" s="321">
        <f>2835.999-500</f>
        <v>2335.9989999999998</v>
      </c>
      <c r="J21" s="319">
        <f>97.793+102</f>
        <v>199.79300000000001</v>
      </c>
      <c r="K21" s="319">
        <v>0</v>
      </c>
      <c r="L21" s="319">
        <v>0</v>
      </c>
      <c r="M21" s="327">
        <f>SUM(E21:L21)</f>
        <v>3390.2000000000003</v>
      </c>
      <c r="N21" s="317">
        <f>'ES CT Electric Table A  '!Q24</f>
        <v>3390200.0000000005</v>
      </c>
      <c r="O21" s="318">
        <f>N21/1000-M21</f>
        <v>0</v>
      </c>
    </row>
    <row r="22" spans="2:35" ht="18.75" thickBot="1" x14ac:dyDescent="0.3">
      <c r="B22" s="314"/>
      <c r="C22" s="314"/>
      <c r="D22" s="329" t="s">
        <v>258</v>
      </c>
      <c r="E22" s="330">
        <f>159.65*1.03*1.03*1.03</f>
        <v>174.45386555000002</v>
      </c>
      <c r="F22" s="330">
        <v>0</v>
      </c>
      <c r="G22" s="319">
        <f>N22/1000-E22-F22-H22-I22-J22-K22-L22</f>
        <v>1258.0181344500004</v>
      </c>
      <c r="H22" s="330">
        <v>5</v>
      </c>
      <c r="I22" s="331">
        <f>4268.839-1000</f>
        <v>3268.8389999999999</v>
      </c>
      <c r="J22" s="330">
        <f>112.338</f>
        <v>112.33799999999999</v>
      </c>
      <c r="K22" s="330">
        <v>0</v>
      </c>
      <c r="L22" s="330">
        <v>0</v>
      </c>
      <c r="M22" s="327">
        <f>SUM(E22:L22)</f>
        <v>4818.6490000000003</v>
      </c>
      <c r="N22" s="317">
        <f>'ES CT Electric Table A  '!Q25</f>
        <v>4818649</v>
      </c>
      <c r="O22" s="318">
        <f>N22/1000-M22</f>
        <v>0</v>
      </c>
    </row>
    <row r="23" spans="2:35" ht="18.75" thickBot="1" x14ac:dyDescent="0.3">
      <c r="B23" s="314"/>
      <c r="C23" s="314"/>
      <c r="D23" s="342" t="s">
        <v>299</v>
      </c>
      <c r="E23" s="343">
        <f t="shared" ref="E23:M23" si="4">SUM(E21:E22)</f>
        <v>348.90773110000003</v>
      </c>
      <c r="F23" s="343">
        <f t="shared" si="4"/>
        <v>0</v>
      </c>
      <c r="G23" s="343">
        <f t="shared" si="4"/>
        <v>1937.9722689000009</v>
      </c>
      <c r="H23" s="343">
        <f t="shared" si="4"/>
        <v>5</v>
      </c>
      <c r="I23" s="343">
        <f t="shared" si="4"/>
        <v>5604.8379999999997</v>
      </c>
      <c r="J23" s="343">
        <f t="shared" si="4"/>
        <v>312.13099999999997</v>
      </c>
      <c r="K23" s="343">
        <f t="shared" si="4"/>
        <v>0</v>
      </c>
      <c r="L23" s="343">
        <f t="shared" si="4"/>
        <v>0</v>
      </c>
      <c r="M23" s="343">
        <f t="shared" si="4"/>
        <v>8208.8490000000002</v>
      </c>
      <c r="N23" s="317">
        <f>'ES CT Electric Table A  '!Q26</f>
        <v>8208849</v>
      </c>
      <c r="O23" s="313">
        <f>N23/1000-M23</f>
        <v>0</v>
      </c>
    </row>
    <row r="24" spans="2:35" ht="18.75" thickBot="1" x14ac:dyDescent="0.3">
      <c r="B24" s="314"/>
      <c r="C24" s="314"/>
      <c r="D24" s="938" t="s">
        <v>261</v>
      </c>
      <c r="E24" s="938"/>
      <c r="F24" s="938"/>
      <c r="G24" s="938"/>
      <c r="H24" s="938"/>
      <c r="I24" s="938"/>
      <c r="J24" s="938"/>
      <c r="K24" s="938"/>
      <c r="L24" s="938"/>
      <c r="M24" s="938"/>
      <c r="N24" s="317"/>
      <c r="O24" s="313"/>
      <c r="AI24" s="126" t="s">
        <v>266</v>
      </c>
    </row>
    <row r="25" spans="2:35" ht="18.75" thickBot="1" x14ac:dyDescent="0.3">
      <c r="B25" s="314" t="s">
        <v>196</v>
      </c>
      <c r="C25" s="314"/>
      <c r="D25" s="563" t="s">
        <v>395</v>
      </c>
      <c r="E25" s="325">
        <f>53.045*1.03*1.03</f>
        <v>56.275440500000002</v>
      </c>
      <c r="F25" s="325">
        <v>0</v>
      </c>
      <c r="G25" s="344">
        <f>N25/1000-E25-F25-H25-I25-J25-K25-L25</f>
        <v>630.84455949999995</v>
      </c>
      <c r="H25" s="325">
        <v>0</v>
      </c>
      <c r="I25" s="325">
        <v>0</v>
      </c>
      <c r="J25" s="325">
        <v>48.88</v>
      </c>
      <c r="K25" s="325">
        <v>0</v>
      </c>
      <c r="L25" s="325">
        <v>0</v>
      </c>
      <c r="M25" s="338">
        <f>SUM(E25:L25)</f>
        <v>735.99999999999989</v>
      </c>
      <c r="N25" s="317">
        <f>'ES CT Electric Table A  '!Q28</f>
        <v>736000</v>
      </c>
      <c r="O25" s="326">
        <f>N25/1000-M25</f>
        <v>0</v>
      </c>
    </row>
    <row r="26" spans="2:35" ht="18.75" thickBot="1" x14ac:dyDescent="0.3">
      <c r="B26" s="314" t="s">
        <v>18</v>
      </c>
      <c r="C26" s="314"/>
      <c r="D26" s="242" t="s">
        <v>392</v>
      </c>
      <c r="E26" s="325">
        <f>53.278*1.03*1.03</f>
        <v>56.522630200000002</v>
      </c>
      <c r="F26" s="325">
        <v>0</v>
      </c>
      <c r="G26" s="344">
        <f>N26/1000-E26-F26-H26-I26-J26-K26-L26</f>
        <v>737.07736980000004</v>
      </c>
      <c r="H26" s="325">
        <v>0</v>
      </c>
      <c r="I26" s="325">
        <v>0</v>
      </c>
      <c r="J26" s="325">
        <v>0</v>
      </c>
      <c r="K26" s="325">
        <v>0</v>
      </c>
      <c r="L26" s="325">
        <v>0</v>
      </c>
      <c r="M26" s="338">
        <f>SUM(E26:L26)</f>
        <v>793.6</v>
      </c>
      <c r="N26" s="317">
        <f>'ES CT Electric Table A  '!Q29</f>
        <v>793600</v>
      </c>
      <c r="O26" s="326">
        <f>N26/1000-M26</f>
        <v>0</v>
      </c>
    </row>
    <row r="27" spans="2:35" ht="18.75" thickBot="1" x14ac:dyDescent="0.3">
      <c r="B27" s="314" t="s">
        <v>18</v>
      </c>
      <c r="C27" s="314"/>
      <c r="D27" s="555" t="s">
        <v>393</v>
      </c>
      <c r="E27" s="325">
        <f>35.2*1.03*1.03</f>
        <v>37.343680000000006</v>
      </c>
      <c r="F27" s="325">
        <v>0</v>
      </c>
      <c r="G27" s="344">
        <f>N27/1000-E27-F27-H27-I27-J27-K27-L27</f>
        <v>670.05631999999991</v>
      </c>
      <c r="H27" s="325">
        <v>0</v>
      </c>
      <c r="I27" s="325">
        <v>0</v>
      </c>
      <c r="J27" s="325">
        <f>35+45</f>
        <v>80</v>
      </c>
      <c r="K27" s="325">
        <v>0</v>
      </c>
      <c r="L27" s="325">
        <v>19</v>
      </c>
      <c r="M27" s="338">
        <f>SUM(E27:L27)</f>
        <v>806.39999999999986</v>
      </c>
      <c r="N27" s="317">
        <f>'ES CT Electric Table A  '!Q30</f>
        <v>806400</v>
      </c>
      <c r="O27" s="326">
        <f>N27/1000-M27</f>
        <v>0</v>
      </c>
    </row>
    <row r="28" spans="2:35" ht="18.75" thickBot="1" x14ac:dyDescent="0.3">
      <c r="B28" s="314" t="s">
        <v>196</v>
      </c>
      <c r="C28" s="314"/>
      <c r="D28" s="555" t="s">
        <v>394</v>
      </c>
      <c r="E28" s="325">
        <f>57.6*1.03*1.03</f>
        <v>61.107840000000003</v>
      </c>
      <c r="F28" s="325">
        <v>0</v>
      </c>
      <c r="G28" s="344">
        <f>N28/1000-E28-F28-H28-I28-J28-K28-L28</f>
        <v>322.89215999999999</v>
      </c>
      <c r="H28" s="325">
        <v>16</v>
      </c>
      <c r="I28" s="325">
        <v>0</v>
      </c>
      <c r="J28" s="325">
        <v>0</v>
      </c>
      <c r="K28" s="325">
        <v>0</v>
      </c>
      <c r="L28" s="325">
        <v>0</v>
      </c>
      <c r="M28" s="338">
        <f>SUM(E28:L28)</f>
        <v>400</v>
      </c>
      <c r="N28" s="317">
        <f>'ES CT Electric Table A  '!P31</f>
        <v>400000</v>
      </c>
      <c r="O28" s="318">
        <f>N28/1000-M28</f>
        <v>0</v>
      </c>
    </row>
    <row r="29" spans="2:35" ht="18.75" thickBot="1" x14ac:dyDescent="0.3">
      <c r="B29" s="314"/>
      <c r="C29" s="314"/>
      <c r="D29" s="340" t="s">
        <v>297</v>
      </c>
      <c r="E29" s="343">
        <f t="shared" ref="E29:M29" si="5">SUM(E25:E28)</f>
        <v>211.24959070000003</v>
      </c>
      <c r="F29" s="343">
        <f t="shared" si="5"/>
        <v>0</v>
      </c>
      <c r="G29" s="343">
        <f t="shared" si="5"/>
        <v>2360.8704093000001</v>
      </c>
      <c r="H29" s="343">
        <f t="shared" si="5"/>
        <v>16</v>
      </c>
      <c r="I29" s="343">
        <f t="shared" si="5"/>
        <v>0</v>
      </c>
      <c r="J29" s="343">
        <f t="shared" si="5"/>
        <v>128.88</v>
      </c>
      <c r="K29" s="343">
        <f t="shared" si="5"/>
        <v>0</v>
      </c>
      <c r="L29" s="343">
        <f t="shared" si="5"/>
        <v>19</v>
      </c>
      <c r="M29" s="343">
        <f t="shared" si="5"/>
        <v>2736</v>
      </c>
      <c r="N29" s="317">
        <f>'ES CT Electric Table A  '!Q32</f>
        <v>2736000</v>
      </c>
      <c r="O29" s="313">
        <f>N29/1000-M29</f>
        <v>0</v>
      </c>
    </row>
    <row r="30" spans="2:35" ht="18.75" thickBot="1" x14ac:dyDescent="0.3">
      <c r="B30" s="312"/>
      <c r="C30" s="312"/>
      <c r="D30" s="935" t="s">
        <v>40</v>
      </c>
      <c r="E30" s="935"/>
      <c r="F30" s="935"/>
      <c r="G30" s="935"/>
      <c r="H30" s="935"/>
      <c r="I30" s="935"/>
      <c r="J30" s="935"/>
      <c r="K30" s="935"/>
      <c r="L30" s="935"/>
      <c r="M30" s="935"/>
      <c r="N30" s="317"/>
      <c r="O30" s="313"/>
    </row>
    <row r="31" spans="2:35" ht="36.75" thickBot="1" x14ac:dyDescent="0.3">
      <c r="B31" s="314" t="s">
        <v>29</v>
      </c>
      <c r="C31" s="314"/>
      <c r="D31" s="356" t="s">
        <v>303</v>
      </c>
      <c r="E31" s="325">
        <v>0</v>
      </c>
      <c r="F31" s="325">
        <v>0</v>
      </c>
      <c r="G31" s="344">
        <v>0</v>
      </c>
      <c r="H31" s="325">
        <v>0</v>
      </c>
      <c r="I31" s="325">
        <v>0</v>
      </c>
      <c r="J31" s="325">
        <v>0</v>
      </c>
      <c r="K31" s="325">
        <f>N31/1000-E31-F31-H31-I31-J31-G31-L31</f>
        <v>2500.0000550754548</v>
      </c>
      <c r="L31" s="346">
        <v>0</v>
      </c>
      <c r="M31" s="338">
        <f>SUM(E31:L31)</f>
        <v>2500.0000550754548</v>
      </c>
      <c r="N31" s="317">
        <f>'ES CT Electric Table A  '!Q34</f>
        <v>2500000.055075455</v>
      </c>
      <c r="O31" s="318">
        <f>N31/1000-M31</f>
        <v>0</v>
      </c>
    </row>
    <row r="32" spans="2:35" ht="18.75" thickBot="1" x14ac:dyDescent="0.3">
      <c r="B32" s="314" t="s">
        <v>30</v>
      </c>
      <c r="C32" s="314"/>
      <c r="D32" s="345" t="s">
        <v>189</v>
      </c>
      <c r="E32" s="325">
        <v>0</v>
      </c>
      <c r="F32" s="325">
        <v>0</v>
      </c>
      <c r="G32" s="344">
        <f>0</f>
        <v>0</v>
      </c>
      <c r="H32" s="325">
        <v>0</v>
      </c>
      <c r="I32" s="325">
        <v>0</v>
      </c>
      <c r="J32" s="325">
        <v>0</v>
      </c>
      <c r="K32" s="347">
        <f>1000</f>
        <v>1000</v>
      </c>
      <c r="L32" s="346">
        <f>N32/1000-E32-F32-G32-H32-I32-J32-K32</f>
        <v>500</v>
      </c>
      <c r="M32" s="338">
        <f>SUM(E32:L32)</f>
        <v>1500</v>
      </c>
      <c r="N32" s="317">
        <f>'ES CT Electric Table A  '!Q35</f>
        <v>1500000</v>
      </c>
      <c r="O32" s="318">
        <f>N32/1000-M32</f>
        <v>0</v>
      </c>
    </row>
    <row r="33" spans="1:15" ht="20.25" customHeight="1" thickBot="1" x14ac:dyDescent="0.3">
      <c r="B33" s="314" t="s">
        <v>31</v>
      </c>
      <c r="C33" s="314"/>
      <c r="D33" s="335" t="s">
        <v>21</v>
      </c>
      <c r="E33" s="325">
        <f>65.84395646784*1.03*1.03*1.03</f>
        <v>71.949469019233405</v>
      </c>
      <c r="F33" s="325">
        <v>2</v>
      </c>
      <c r="G33" s="344">
        <f>N33/1000-E33-F33-H33-I33-J33-K33-L33</f>
        <v>83.277390309384614</v>
      </c>
      <c r="H33" s="325">
        <v>0</v>
      </c>
      <c r="I33" s="325">
        <v>0</v>
      </c>
      <c r="J33" s="325">
        <v>0</v>
      </c>
      <c r="K33" s="347">
        <v>0</v>
      </c>
      <c r="L33" s="325">
        <v>5</v>
      </c>
      <c r="M33" s="338">
        <f>SUM(E33:L33)</f>
        <v>162.22685932861802</v>
      </c>
      <c r="N33" s="317">
        <f>'ES CT Electric Table A  '!Q36</f>
        <v>162226.85932861801</v>
      </c>
      <c r="O33" s="318">
        <f>N33/1000-M33</f>
        <v>0</v>
      </c>
    </row>
    <row r="34" spans="1:15" ht="18.75" thickBot="1" x14ac:dyDescent="0.3">
      <c r="B34" s="314"/>
      <c r="C34" s="314"/>
      <c r="D34" s="340" t="s">
        <v>298</v>
      </c>
      <c r="E34" s="343">
        <f t="shared" ref="E34:L34" si="6">SUM(E31:E33)</f>
        <v>71.949469019233405</v>
      </c>
      <c r="F34" s="343">
        <f t="shared" si="6"/>
        <v>2</v>
      </c>
      <c r="G34" s="343">
        <f t="shared" si="6"/>
        <v>83.277390309384614</v>
      </c>
      <c r="H34" s="343">
        <f t="shared" si="6"/>
        <v>0</v>
      </c>
      <c r="I34" s="343">
        <f t="shared" si="6"/>
        <v>0</v>
      </c>
      <c r="J34" s="343">
        <f t="shared" si="6"/>
        <v>0</v>
      </c>
      <c r="K34" s="343">
        <f t="shared" si="6"/>
        <v>3500.0000550754548</v>
      </c>
      <c r="L34" s="343">
        <f t="shared" si="6"/>
        <v>505</v>
      </c>
      <c r="M34" s="343">
        <f>SUM(E34:L34)</f>
        <v>4162.2269144040729</v>
      </c>
      <c r="N34" s="317">
        <f>'ES CT Electric Table A  '!Q37</f>
        <v>4162226.9144040728</v>
      </c>
      <c r="O34" s="313">
        <f>N34/1000-M34</f>
        <v>0</v>
      </c>
    </row>
    <row r="35" spans="1:15" ht="27" customHeight="1" thickBot="1" x14ac:dyDescent="0.3">
      <c r="B35" s="314"/>
      <c r="C35" s="314"/>
      <c r="D35" s="936" t="s">
        <v>22</v>
      </c>
      <c r="E35" s="936"/>
      <c r="F35" s="936"/>
      <c r="G35" s="936"/>
      <c r="H35" s="936"/>
      <c r="I35" s="936"/>
      <c r="J35" s="936"/>
      <c r="K35" s="936"/>
      <c r="L35" s="936"/>
      <c r="M35" s="936"/>
      <c r="N35" s="317"/>
      <c r="O35" s="313"/>
    </row>
    <row r="36" spans="1:15" ht="20.25" customHeight="1" thickBot="1" x14ac:dyDescent="0.3">
      <c r="B36" s="314" t="s">
        <v>31</v>
      </c>
      <c r="C36" s="314"/>
      <c r="D36" s="265" t="s">
        <v>7</v>
      </c>
      <c r="E36" s="348">
        <f>816.377994695973*1.03*1.03*1.03</f>
        <v>892.07827701014651</v>
      </c>
      <c r="F36" s="348">
        <v>0</v>
      </c>
      <c r="G36" s="319">
        <v>0</v>
      </c>
      <c r="H36" s="325">
        <f>N36/1000-E36-F36-G36-I36-J36-K36-L36</f>
        <v>10.518717685826459</v>
      </c>
      <c r="I36" s="349">
        <v>0</v>
      </c>
      <c r="J36" s="349">
        <v>0</v>
      </c>
      <c r="K36" s="325">
        <v>0</v>
      </c>
      <c r="L36" s="346">
        <v>0</v>
      </c>
      <c r="M36" s="346">
        <f t="shared" ref="M36:M43" si="7">SUM(E36:L36)</f>
        <v>902.59699469597297</v>
      </c>
      <c r="N36" s="317">
        <f>'ES CT Electric Table A  '!Q39</f>
        <v>902596.994695973</v>
      </c>
      <c r="O36" s="318">
        <f t="shared" ref="O36:O45" si="8">N36/1000-M36</f>
        <v>0</v>
      </c>
    </row>
    <row r="37" spans="1:15" ht="20.25" customHeight="1" thickBot="1" x14ac:dyDescent="0.3">
      <c r="B37" s="314" t="s">
        <v>18</v>
      </c>
      <c r="C37" s="314"/>
      <c r="D37" s="265" t="s">
        <v>134</v>
      </c>
      <c r="E37" s="348">
        <v>0</v>
      </c>
      <c r="F37" s="325">
        <v>0</v>
      </c>
      <c r="G37" s="325">
        <v>0</v>
      </c>
      <c r="H37" s="325">
        <v>0</v>
      </c>
      <c r="I37" s="349">
        <v>0</v>
      </c>
      <c r="J37" s="344">
        <f>N37/1000-E37-F37-H37-I37-K37-L37-G37</f>
        <v>428.41292805218598</v>
      </c>
      <c r="K37" s="325">
        <f>1-0.0329</f>
        <v>0.96709999999999996</v>
      </c>
      <c r="L37" s="346">
        <v>1</v>
      </c>
      <c r="M37" s="346">
        <f t="shared" si="7"/>
        <v>430.38002805218599</v>
      </c>
      <c r="N37" s="317">
        <f>'ES CT Electric Table A  '!Q40</f>
        <v>430380.02805218601</v>
      </c>
      <c r="O37" s="318">
        <f t="shared" si="8"/>
        <v>0</v>
      </c>
    </row>
    <row r="38" spans="1:15" ht="20.25" customHeight="1" thickBot="1" x14ac:dyDescent="0.3">
      <c r="B38" s="314" t="s">
        <v>31</v>
      </c>
      <c r="C38" s="314"/>
      <c r="D38" s="265" t="s">
        <v>193</v>
      </c>
      <c r="E38" s="325">
        <f>N38/1000-H38-F38-K38-L38-G38</f>
        <v>703.17</v>
      </c>
      <c r="F38" s="325">
        <v>0</v>
      </c>
      <c r="G38" s="325">
        <f>0</f>
        <v>0</v>
      </c>
      <c r="H38" s="325">
        <v>0</v>
      </c>
      <c r="I38" s="325">
        <v>0</v>
      </c>
      <c r="J38" s="325">
        <v>0</v>
      </c>
      <c r="K38" s="325">
        <v>0</v>
      </c>
      <c r="L38" s="325">
        <v>0</v>
      </c>
      <c r="M38" s="346">
        <f t="shared" si="7"/>
        <v>703.17</v>
      </c>
      <c r="N38" s="317">
        <f>'ES CT Electric Table A  '!Q41</f>
        <v>703170</v>
      </c>
      <c r="O38" s="318">
        <f t="shared" si="8"/>
        <v>0</v>
      </c>
    </row>
    <row r="39" spans="1:15" ht="20.25" customHeight="1" thickBot="1" x14ac:dyDescent="0.3">
      <c r="B39" s="314" t="s">
        <v>31</v>
      </c>
      <c r="C39" s="314"/>
      <c r="D39" s="265" t="s">
        <v>222</v>
      </c>
      <c r="E39" s="325">
        <v>0</v>
      </c>
      <c r="F39" s="325">
        <v>0</v>
      </c>
      <c r="G39" s="325">
        <f>N39/1000-E39-F39-H39-I39-J39-K39-L39</f>
        <v>2878</v>
      </c>
      <c r="H39" s="325">
        <v>0</v>
      </c>
      <c r="I39" s="325">
        <v>0</v>
      </c>
      <c r="J39" s="325">
        <v>0</v>
      </c>
      <c r="K39" s="325">
        <v>1</v>
      </c>
      <c r="L39" s="325">
        <v>1</v>
      </c>
      <c r="M39" s="346">
        <f t="shared" si="7"/>
        <v>2880</v>
      </c>
      <c r="N39" s="317">
        <f>'ES CT Electric Table A  '!Q42</f>
        <v>2880000</v>
      </c>
      <c r="O39" s="318">
        <f t="shared" si="8"/>
        <v>0</v>
      </c>
    </row>
    <row r="40" spans="1:15" ht="20.25" customHeight="1" thickBot="1" x14ac:dyDescent="0.3">
      <c r="B40" s="314" t="s">
        <v>31</v>
      </c>
      <c r="C40" s="314"/>
      <c r="D40" s="265" t="s">
        <v>219</v>
      </c>
      <c r="E40" s="325">
        <v>0</v>
      </c>
      <c r="F40" s="325">
        <v>0</v>
      </c>
      <c r="G40" s="325">
        <f>N40/1000-E40-F40-H40-I40-J40-K40-L40</f>
        <v>284.23200000000003</v>
      </c>
      <c r="H40" s="325">
        <v>0</v>
      </c>
      <c r="I40" s="325">
        <v>0</v>
      </c>
      <c r="J40" s="325">
        <v>0</v>
      </c>
      <c r="K40" s="325">
        <v>0</v>
      </c>
      <c r="L40" s="325">
        <v>0</v>
      </c>
      <c r="M40" s="346">
        <f t="shared" si="7"/>
        <v>284.23200000000003</v>
      </c>
      <c r="N40" s="317">
        <f>'ES CT Electric Table A  '!Q43</f>
        <v>284232</v>
      </c>
      <c r="O40" s="318">
        <f t="shared" si="8"/>
        <v>0</v>
      </c>
    </row>
    <row r="41" spans="1:15" ht="20.25" customHeight="1" thickBot="1" x14ac:dyDescent="0.3">
      <c r="B41" s="314" t="s">
        <v>31</v>
      </c>
      <c r="C41" s="314"/>
      <c r="D41" s="265" t="s">
        <v>8</v>
      </c>
      <c r="E41" s="349">
        <f>408.3332*1.03*1.03*1.03</f>
        <v>446.19671263640004</v>
      </c>
      <c r="F41" s="349">
        <v>0</v>
      </c>
      <c r="G41" s="325">
        <f>N41/1000-E41-F41-H41-I41-J41-K41-L41</f>
        <v>1198.2862805300999</v>
      </c>
      <c r="H41" s="349">
        <v>144.614</v>
      </c>
      <c r="I41" s="349">
        <v>0</v>
      </c>
      <c r="J41" s="349">
        <v>0</v>
      </c>
      <c r="K41" s="349">
        <v>0</v>
      </c>
      <c r="L41" s="349">
        <v>50</v>
      </c>
      <c r="M41" s="346">
        <f t="shared" si="7"/>
        <v>1839.0969931664999</v>
      </c>
      <c r="N41" s="317">
        <f>'ES CT Electric Table A  '!Q44</f>
        <v>1839096.9931665</v>
      </c>
      <c r="O41" s="318">
        <f t="shared" si="8"/>
        <v>0</v>
      </c>
    </row>
    <row r="42" spans="1:15" ht="20.25" customHeight="1" thickBot="1" x14ac:dyDescent="0.3">
      <c r="B42" s="314" t="s">
        <v>31</v>
      </c>
      <c r="C42" s="314"/>
      <c r="D42" s="265" t="s">
        <v>220</v>
      </c>
      <c r="E42" s="349">
        <v>0</v>
      </c>
      <c r="F42" s="349">
        <v>0</v>
      </c>
      <c r="G42" s="325">
        <f>N42/1000-E42-F42-H42-I42-J42-K42-L42</f>
        <v>512.00099999999998</v>
      </c>
      <c r="H42" s="349">
        <v>0</v>
      </c>
      <c r="I42" s="349">
        <v>0</v>
      </c>
      <c r="J42" s="349">
        <v>0</v>
      </c>
      <c r="K42" s="325">
        <v>0</v>
      </c>
      <c r="L42" s="346">
        <v>0</v>
      </c>
      <c r="M42" s="346">
        <f t="shared" si="7"/>
        <v>512.00099999999998</v>
      </c>
      <c r="N42" s="317">
        <f>'ES CT Electric Table A  '!Q45</f>
        <v>512001</v>
      </c>
      <c r="O42" s="318">
        <f t="shared" si="8"/>
        <v>0</v>
      </c>
    </row>
    <row r="43" spans="1:15" ht="20.25" customHeight="1" thickBot="1" x14ac:dyDescent="0.3">
      <c r="B43" s="314" t="s">
        <v>31</v>
      </c>
      <c r="C43" s="314"/>
      <c r="D43" s="265" t="s">
        <v>223</v>
      </c>
      <c r="E43" s="349">
        <v>0</v>
      </c>
      <c r="F43" s="349">
        <v>0</v>
      </c>
      <c r="G43" s="325">
        <f>N43/1000-E43-F43-H43-I43-J43-K43-L43</f>
        <v>60</v>
      </c>
      <c r="H43" s="349">
        <v>0</v>
      </c>
      <c r="I43" s="349">
        <v>0</v>
      </c>
      <c r="J43" s="349">
        <v>0</v>
      </c>
      <c r="K43" s="325">
        <v>0</v>
      </c>
      <c r="L43" s="346">
        <v>0</v>
      </c>
      <c r="M43" s="346">
        <f t="shared" si="7"/>
        <v>60</v>
      </c>
      <c r="N43" s="317">
        <f>'ES CT Electric Table A  '!Q46</f>
        <v>60000</v>
      </c>
      <c r="O43" s="318">
        <f t="shared" si="8"/>
        <v>0</v>
      </c>
    </row>
    <row r="44" spans="1:15" ht="20.25" customHeight="1" thickBot="1" x14ac:dyDescent="0.3">
      <c r="B44" s="314" t="s">
        <v>31</v>
      </c>
      <c r="C44" s="314"/>
      <c r="D44" s="564" t="s">
        <v>221</v>
      </c>
      <c r="E44" s="325">
        <v>0</v>
      </c>
      <c r="F44" s="325">
        <v>0</v>
      </c>
      <c r="G44" s="325">
        <v>0</v>
      </c>
      <c r="H44" s="325">
        <v>0</v>
      </c>
      <c r="I44" s="325">
        <v>0</v>
      </c>
      <c r="J44" s="325">
        <v>0</v>
      </c>
      <c r="K44" s="344">
        <f>N44/1000</f>
        <v>6935.0641394625</v>
      </c>
      <c r="L44" s="346">
        <v>0</v>
      </c>
      <c r="M44" s="346">
        <f>SUM(E44:L44)</f>
        <v>6935.0641394625</v>
      </c>
      <c r="N44" s="317">
        <f>'ES CT Electric Table A  '!Q47</f>
        <v>6935064.1394624999</v>
      </c>
      <c r="O44" s="318">
        <f t="shared" si="8"/>
        <v>0</v>
      </c>
    </row>
    <row r="45" spans="1:15" ht="23.25" customHeight="1" thickBot="1" x14ac:dyDescent="0.3">
      <c r="B45" s="314"/>
      <c r="C45" s="314"/>
      <c r="D45" s="340" t="s">
        <v>300</v>
      </c>
      <c r="E45" s="343">
        <f t="shared" ref="E45:M45" si="9">SUM(E36:E44)</f>
        <v>2041.4449896465464</v>
      </c>
      <c r="F45" s="343">
        <f t="shared" si="9"/>
        <v>0</v>
      </c>
      <c r="G45" s="343">
        <f t="shared" si="9"/>
        <v>4932.5192805301003</v>
      </c>
      <c r="H45" s="343">
        <f t="shared" si="9"/>
        <v>155.13271768582646</v>
      </c>
      <c r="I45" s="343">
        <f t="shared" si="9"/>
        <v>0</v>
      </c>
      <c r="J45" s="343">
        <f t="shared" si="9"/>
        <v>428.41292805218598</v>
      </c>
      <c r="K45" s="343">
        <f t="shared" si="9"/>
        <v>6937.0312394624998</v>
      </c>
      <c r="L45" s="343">
        <f t="shared" si="9"/>
        <v>52</v>
      </c>
      <c r="M45" s="343">
        <f t="shared" si="9"/>
        <v>14546.541155377159</v>
      </c>
      <c r="N45" s="317">
        <f>'ES CT Electric Table A  '!Q48</f>
        <v>14546541.155377159</v>
      </c>
      <c r="O45" s="318">
        <f t="shared" si="8"/>
        <v>0</v>
      </c>
    </row>
    <row r="46" spans="1:15" ht="19.5" hidden="1" customHeight="1" thickBot="1" x14ac:dyDescent="0.3">
      <c r="B46" s="314"/>
      <c r="C46" s="314"/>
      <c r="D46" s="340" t="s">
        <v>100</v>
      </c>
      <c r="E46" s="350"/>
      <c r="F46" s="350"/>
      <c r="G46" s="350"/>
      <c r="H46" s="350"/>
      <c r="I46" s="350"/>
      <c r="J46" s="350"/>
      <c r="K46" s="350"/>
      <c r="L46" s="351"/>
      <c r="M46" s="350"/>
      <c r="N46" s="317"/>
      <c r="O46" s="318"/>
    </row>
    <row r="47" spans="1:15" ht="18" hidden="1" customHeight="1" thickBot="1" x14ac:dyDescent="0.3">
      <c r="A47" s="133"/>
      <c r="B47" s="314"/>
      <c r="C47" s="314"/>
      <c r="D47" s="352" t="s">
        <v>25</v>
      </c>
      <c r="E47" s="353">
        <f>E13+E25*0.8+E27*0.5+E26*0.5+E28*0.8+E31+E37*0.8+E21</f>
        <v>4245.5093486342848</v>
      </c>
      <c r="F47" s="353">
        <f t="shared" ref="F47:M47" si="10">F13+F25*0.8+F27*0.5+F26*0.5+F28*0.8+F31+F37*0.8+F21</f>
        <v>12</v>
      </c>
      <c r="G47" s="353">
        <f t="shared" si="10"/>
        <v>8926.2423549499999</v>
      </c>
      <c r="H47" s="353">
        <f t="shared" si="10"/>
        <v>324.94800000000004</v>
      </c>
      <c r="I47" s="353">
        <f t="shared" si="10"/>
        <v>45967.600268492039</v>
      </c>
      <c r="J47" s="353">
        <f t="shared" si="10"/>
        <v>3046.9273424417488</v>
      </c>
      <c r="K47" s="353">
        <f t="shared" si="10"/>
        <v>2621.7474629991343</v>
      </c>
      <c r="L47" s="353">
        <f t="shared" si="10"/>
        <v>100.3</v>
      </c>
      <c r="M47" s="353">
        <f t="shared" si="10"/>
        <v>65245.274777517203</v>
      </c>
      <c r="N47" s="317">
        <f>'ES CT Electric Table A  '!P50</f>
        <v>63971974.777517207</v>
      </c>
      <c r="O47" s="318">
        <f>N47/1000-M47</f>
        <v>-1273.2999999999956</v>
      </c>
    </row>
    <row r="48" spans="1:15" ht="18" hidden="1" customHeight="1" thickBot="1" x14ac:dyDescent="0.3">
      <c r="B48" s="312"/>
      <c r="C48" s="312"/>
      <c r="D48" s="352" t="s">
        <v>26</v>
      </c>
      <c r="E48" s="354">
        <f>E19+E25*0.2+E26*0.5+E27*0.5+E28*0.2+E32+E22+E37*0.2</f>
        <v>7391.982353751192</v>
      </c>
      <c r="F48" s="354">
        <f t="shared" ref="F48:M48" si="11">F19+F25*0.2+F26*0.5+F27*0.5+F28*0.2+F32+F22+F37*0.2</f>
        <v>16</v>
      </c>
      <c r="G48" s="354">
        <f t="shared" si="11"/>
        <v>6251.2343232500007</v>
      </c>
      <c r="H48" s="354">
        <f t="shared" si="11"/>
        <v>894.7284800000001</v>
      </c>
      <c r="I48" s="354">
        <f t="shared" si="11"/>
        <v>49705.282521754234</v>
      </c>
      <c r="J48" s="354">
        <f t="shared" si="11"/>
        <v>847.79658561043709</v>
      </c>
      <c r="K48" s="354">
        <f t="shared" si="11"/>
        <v>1210.1934200000001</v>
      </c>
      <c r="L48" s="354">
        <f t="shared" si="11"/>
        <v>651.70000000000005</v>
      </c>
      <c r="M48" s="354">
        <f t="shared" si="11"/>
        <v>66968.917684365864</v>
      </c>
      <c r="N48" s="317">
        <f>'ES CT Electric Table A  '!P51</f>
        <v>63900515.384365872</v>
      </c>
      <c r="O48" s="318">
        <f>N48/1000-M48</f>
        <v>-3068.4022999999943</v>
      </c>
    </row>
    <row r="49" spans="2:15" ht="18.75" hidden="1" customHeight="1" thickBot="1" x14ac:dyDescent="0.3">
      <c r="B49" s="332"/>
      <c r="C49" s="332"/>
      <c r="D49" s="352" t="s">
        <v>152</v>
      </c>
      <c r="E49" s="354">
        <f>E33+E36+E38+E39+E40+E41+E42+E43+E44</f>
        <v>2113.3944586657799</v>
      </c>
      <c r="F49" s="354">
        <f t="shared" ref="F49:M49" si="12">F33+F36+F38+F39+F40+F41+F42+F43+F44</f>
        <v>2</v>
      </c>
      <c r="G49" s="354">
        <f t="shared" si="12"/>
        <v>5015.7966708394852</v>
      </c>
      <c r="H49" s="354">
        <f t="shared" si="12"/>
        <v>155.13271768582646</v>
      </c>
      <c r="I49" s="354">
        <f t="shared" si="12"/>
        <v>0</v>
      </c>
      <c r="J49" s="354">
        <f t="shared" si="12"/>
        <v>0</v>
      </c>
      <c r="K49" s="354">
        <f t="shared" si="12"/>
        <v>6936.0641394625</v>
      </c>
      <c r="L49" s="354">
        <f t="shared" si="12"/>
        <v>56</v>
      </c>
      <c r="M49" s="354">
        <f t="shared" si="12"/>
        <v>14278.387986653592</v>
      </c>
      <c r="N49" s="317">
        <f>'ES CT Electric Table A  '!P52</f>
        <v>14061302.847191092</v>
      </c>
      <c r="O49" s="318">
        <f>N49/1000-M49</f>
        <v>-217.08513946250059</v>
      </c>
    </row>
    <row r="50" spans="2:15" ht="18.75" thickBot="1" x14ac:dyDescent="0.3">
      <c r="B50" s="314"/>
      <c r="C50" s="314"/>
      <c r="D50" s="340" t="s">
        <v>255</v>
      </c>
      <c r="E50" s="343">
        <f t="shared" ref="E50:L50" si="13">SUM(E47:E49)</f>
        <v>13750.886161051256</v>
      </c>
      <c r="F50" s="343">
        <f t="shared" si="13"/>
        <v>30</v>
      </c>
      <c r="G50" s="343">
        <f t="shared" si="13"/>
        <v>20193.273349039486</v>
      </c>
      <c r="H50" s="343">
        <f t="shared" si="13"/>
        <v>1374.8091976858266</v>
      </c>
      <c r="I50" s="343">
        <f t="shared" si="13"/>
        <v>95672.88279024628</v>
      </c>
      <c r="J50" s="343">
        <f t="shared" si="13"/>
        <v>3894.7239280521858</v>
      </c>
      <c r="K50" s="343">
        <f t="shared" si="13"/>
        <v>10768.005022461635</v>
      </c>
      <c r="L50" s="343">
        <f t="shared" si="13"/>
        <v>808</v>
      </c>
      <c r="M50" s="343">
        <f>SUM(M47:M49)</f>
        <v>146492.58044853667</v>
      </c>
      <c r="N50" s="317">
        <f>'ES CT Electric Table A  '!Q53</f>
        <v>146492580.44853666</v>
      </c>
      <c r="O50" s="318">
        <f>N50/1000-M50</f>
        <v>0</v>
      </c>
    </row>
    <row r="51" spans="2:15" ht="20.25" x14ac:dyDescent="0.3">
      <c r="B51" s="135"/>
      <c r="C51" s="135"/>
      <c r="D51" s="136"/>
      <c r="E51" s="137" t="s">
        <v>13</v>
      </c>
      <c r="F51" s="138"/>
      <c r="G51" s="138" t="s">
        <v>13</v>
      </c>
      <c r="H51" s="132"/>
      <c r="I51" s="132"/>
      <c r="J51" s="132"/>
      <c r="K51" s="132"/>
      <c r="L51" s="132"/>
      <c r="M51" s="132"/>
    </row>
    <row r="52" spans="2:15" ht="20.25" x14ac:dyDescent="0.3">
      <c r="B52" s="135"/>
      <c r="C52" s="135"/>
      <c r="D52" s="139" t="s">
        <v>13</v>
      </c>
      <c r="E52" s="138"/>
      <c r="F52" s="138"/>
      <c r="G52" s="138"/>
      <c r="H52" s="132"/>
      <c r="I52" s="132"/>
      <c r="J52" s="132"/>
      <c r="K52" s="132"/>
      <c r="L52" s="132"/>
      <c r="M52" s="140"/>
      <c r="N52" s="133">
        <f>N13+N19+N29+N34+N23+N45</f>
        <v>146492580.44853669</v>
      </c>
    </row>
    <row r="53" spans="2:15" x14ac:dyDescent="0.2">
      <c r="B53" s="141"/>
      <c r="C53" s="141"/>
      <c r="D53" s="142"/>
    </row>
    <row r="54" spans="2:15" x14ac:dyDescent="0.2">
      <c r="B54" s="141"/>
      <c r="C54" s="141"/>
      <c r="D54" s="145"/>
    </row>
    <row r="55" spans="2:15" x14ac:dyDescent="0.2">
      <c r="B55" s="141"/>
      <c r="C55" s="141"/>
    </row>
    <row r="56" spans="2:15" x14ac:dyDescent="0.2">
      <c r="B56" s="141"/>
      <c r="C56" s="141"/>
      <c r="D56" s="134"/>
      <c r="F56" s="143"/>
      <c r="G56" s="143"/>
    </row>
    <row r="57" spans="2:15" x14ac:dyDescent="0.2">
      <c r="B57" s="141"/>
      <c r="C57" s="141"/>
      <c r="D57" s="134"/>
      <c r="F57" s="143"/>
      <c r="G57" s="143"/>
    </row>
    <row r="58" spans="2:15" ht="20.25" x14ac:dyDescent="0.3">
      <c r="B58" s="141"/>
      <c r="C58" s="141"/>
      <c r="D58" s="134"/>
      <c r="E58" s="177"/>
      <c r="F58" s="143"/>
      <c r="G58" s="143"/>
    </row>
    <row r="60" spans="2:15" x14ac:dyDescent="0.2">
      <c r="D60" s="134"/>
      <c r="O60" s="127" t="s">
        <v>13</v>
      </c>
    </row>
    <row r="61" spans="2:15" x14ac:dyDescent="0.2">
      <c r="D61" s="134"/>
    </row>
    <row r="62" spans="2:15" x14ac:dyDescent="0.2">
      <c r="D62" s="134"/>
    </row>
    <row r="63" spans="2:15" x14ac:dyDescent="0.2">
      <c r="D63" s="134"/>
    </row>
    <row r="64" spans="2:15" x14ac:dyDescent="0.2">
      <c r="D64" s="134"/>
    </row>
    <row r="65" spans="4:15" x14ac:dyDescent="0.2">
      <c r="D65" s="134"/>
      <c r="O65" s="127" t="s">
        <v>13</v>
      </c>
    </row>
    <row r="66" spans="4:15" x14ac:dyDescent="0.2">
      <c r="D66" s="134"/>
      <c r="O66" s="127" t="s">
        <v>13</v>
      </c>
    </row>
  </sheetData>
  <mergeCells count="8">
    <mergeCell ref="D30:M30"/>
    <mergeCell ref="D35:M35"/>
    <mergeCell ref="D2:M2"/>
    <mergeCell ref="D3:M3"/>
    <mergeCell ref="D6:M6"/>
    <mergeCell ref="D14:M14"/>
    <mergeCell ref="D20:M20"/>
    <mergeCell ref="D24:M24"/>
  </mergeCells>
  <printOptions horizontalCentered="1" verticalCentered="1"/>
  <pageMargins left="0.43" right="0.31" top="0.2" bottom="0.43" header="0.17" footer="0.18"/>
  <pageSetup scale="49" orientation="landscape"/>
  <headerFooter alignWithMargins="0">
    <oddFooter xml:space="preserve">&amp;C&amp;14
Totals may vary due to rounding&amp;12
</oddFooter>
  </headerFooter>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FE68B-18AF-4B05-994C-C067F18B8FDF}">
  <sheetPr>
    <tabColor theme="9" tint="0.39997558519241921"/>
    <pageSetUpPr fitToPage="1"/>
  </sheetPr>
  <dimension ref="B2:I48"/>
  <sheetViews>
    <sheetView showGridLines="0" topLeftCell="A32" zoomScale="90" zoomScaleNormal="90" workbookViewId="0">
      <selection activeCell="F43" sqref="F43"/>
    </sheetView>
  </sheetViews>
  <sheetFormatPr defaultRowHeight="12.75" x14ac:dyDescent="0.2"/>
  <cols>
    <col min="2" max="2" width="35.28515625" customWidth="1"/>
    <col min="3" max="3" width="11.42578125" customWidth="1"/>
    <col min="4" max="4" width="5.5703125" customWidth="1"/>
    <col min="5" max="5" width="17.42578125" customWidth="1"/>
    <col min="6" max="6" width="22.7109375" customWidth="1"/>
    <col min="7" max="7" width="19.140625" customWidth="1"/>
  </cols>
  <sheetData>
    <row r="2" spans="2:9" ht="23.25" x14ac:dyDescent="0.35">
      <c r="B2" s="869" t="s">
        <v>176</v>
      </c>
      <c r="C2" s="869"/>
      <c r="D2" s="869"/>
      <c r="E2" s="869"/>
      <c r="F2" s="869"/>
      <c r="G2" s="18"/>
    </row>
    <row r="3" spans="2:9" ht="23.25" x14ac:dyDescent="0.35">
      <c r="B3" s="869" t="s">
        <v>410</v>
      </c>
      <c r="C3" s="869"/>
      <c r="D3" s="869"/>
      <c r="E3" s="869"/>
      <c r="F3" s="869"/>
      <c r="G3" s="18"/>
    </row>
    <row r="4" spans="2:9" ht="23.25" x14ac:dyDescent="0.35">
      <c r="B4" s="869" t="s">
        <v>209</v>
      </c>
      <c r="C4" s="869"/>
      <c r="D4" s="869"/>
      <c r="E4" s="869"/>
      <c r="F4" s="869"/>
      <c r="G4" s="18"/>
    </row>
    <row r="5" spans="2:9" ht="23.25" x14ac:dyDescent="0.35">
      <c r="B5" s="869" t="s">
        <v>128</v>
      </c>
      <c r="C5" s="869"/>
      <c r="D5" s="869"/>
      <c r="E5" s="869"/>
      <c r="F5" s="869"/>
      <c r="G5" s="18"/>
    </row>
    <row r="16" spans="2:9" x14ac:dyDescent="0.2">
      <c r="I16" s="90"/>
    </row>
    <row r="34" spans="2:5" ht="36.75" customHeight="1" x14ac:dyDescent="0.25">
      <c r="B34" s="517" t="s">
        <v>36</v>
      </c>
      <c r="C34" s="942" t="s">
        <v>10</v>
      </c>
      <c r="D34" s="943"/>
      <c r="E34" s="515" t="s">
        <v>304</v>
      </c>
    </row>
    <row r="35" spans="2:5" ht="16.5" x14ac:dyDescent="0.25">
      <c r="B35" s="939"/>
      <c r="C35" s="940"/>
      <c r="D35" s="940"/>
      <c r="E35" s="941"/>
    </row>
    <row r="36" spans="2:5" ht="21" customHeight="1" x14ac:dyDescent="0.25">
      <c r="B36" s="518" t="s">
        <v>157</v>
      </c>
      <c r="C36" s="944">
        <f>'ES CT Electric 2024 Table C '!E50</f>
        <v>13750.886161051256</v>
      </c>
      <c r="D36" s="945"/>
      <c r="E36" s="480">
        <f t="shared" ref="E36:E42" si="0">SUM(C36/$C$45)</f>
        <v>9.3867458126194916E-2</v>
      </c>
    </row>
    <row r="37" spans="2:5" ht="18.75" customHeight="1" x14ac:dyDescent="0.25">
      <c r="B37" s="518" t="s">
        <v>37</v>
      </c>
      <c r="C37" s="944">
        <f>'ES CT Electric 2024 Table C '!F50</f>
        <v>30</v>
      </c>
      <c r="D37" s="945"/>
      <c r="E37" s="480">
        <f t="shared" si="0"/>
        <v>2.0478852859404098E-4</v>
      </c>
    </row>
    <row r="38" spans="2:5" ht="21" customHeight="1" x14ac:dyDescent="0.25">
      <c r="B38" s="518" t="s">
        <v>14</v>
      </c>
      <c r="C38" s="944">
        <f>'ES CT Electric 2024 Table C '!G50</f>
        <v>20193.273349039486</v>
      </c>
      <c r="D38" s="945"/>
      <c r="E38" s="480">
        <f t="shared" si="0"/>
        <v>0.13784502455490194</v>
      </c>
    </row>
    <row r="39" spans="2:5" ht="20.25" customHeight="1" x14ac:dyDescent="0.25">
      <c r="B39" s="518" t="s">
        <v>61</v>
      </c>
      <c r="C39" s="944">
        <f>'ES CT Electric 2024 Table C '!H50</f>
        <v>1374.8091976858266</v>
      </c>
      <c r="D39" s="945"/>
      <c r="E39" s="480">
        <f t="shared" si="0"/>
        <v>9.3848384230544816E-3</v>
      </c>
    </row>
    <row r="40" spans="2:5" ht="21" customHeight="1" x14ac:dyDescent="0.25">
      <c r="B40" s="518" t="s">
        <v>12</v>
      </c>
      <c r="C40" s="944">
        <f>'ES CT Electric 2024 Table C '!I50</f>
        <v>95672.88279024628</v>
      </c>
      <c r="D40" s="945"/>
      <c r="E40" s="480">
        <f t="shared" si="0"/>
        <v>0.6530902964321561</v>
      </c>
    </row>
    <row r="41" spans="2:5" ht="24" customHeight="1" x14ac:dyDescent="0.25">
      <c r="B41" s="518" t="s">
        <v>33</v>
      </c>
      <c r="C41" s="944">
        <f>'ES CT Electric 2024 Table C '!J50</f>
        <v>3894.7239280521858</v>
      </c>
      <c r="D41" s="945"/>
      <c r="E41" s="480">
        <f t="shared" si="0"/>
        <v>2.6586492750193688E-2</v>
      </c>
    </row>
    <row r="42" spans="2:5" ht="21" customHeight="1" x14ac:dyDescent="0.25">
      <c r="B42" s="518" t="s">
        <v>38</v>
      </c>
      <c r="C42" s="944">
        <f>'ES CT Electric 2024 Table C '!K50</f>
        <v>10768.005022461635</v>
      </c>
      <c r="D42" s="945"/>
      <c r="E42" s="480">
        <f t="shared" si="0"/>
        <v>7.3505463481438715E-2</v>
      </c>
    </row>
    <row r="43" spans="2:5" ht="18.75" x14ac:dyDescent="0.4">
      <c r="B43" s="518" t="s">
        <v>34</v>
      </c>
      <c r="C43" s="946">
        <f>'ES CT Electric 2024 Table C '!L50</f>
        <v>808</v>
      </c>
      <c r="D43" s="947"/>
      <c r="E43" s="516">
        <f>SUM(C43/$C$45)</f>
        <v>5.5156377034661702E-3</v>
      </c>
    </row>
    <row r="44" spans="2:5" ht="18.75" customHeight="1" x14ac:dyDescent="0.25">
      <c r="B44" s="865"/>
      <c r="C44" s="866"/>
      <c r="D44" s="866"/>
      <c r="E44" s="867"/>
    </row>
    <row r="45" spans="2:5" ht="16.5" x14ac:dyDescent="0.25">
      <c r="B45" s="512" t="s">
        <v>9</v>
      </c>
      <c r="C45" s="948">
        <f>SUM(C36:C43)</f>
        <v>146492.58044853667</v>
      </c>
      <c r="D45" s="949"/>
      <c r="E45" s="484">
        <f>SUM(E36:E43)</f>
        <v>1</v>
      </c>
    </row>
    <row r="46" spans="2:5" ht="18" x14ac:dyDescent="0.25">
      <c r="B46" s="261"/>
      <c r="C46" s="261"/>
      <c r="D46" s="261"/>
      <c r="E46" s="261"/>
    </row>
    <row r="47" spans="2:5" ht="18" x14ac:dyDescent="0.25">
      <c r="B47" s="261"/>
      <c r="C47" s="261"/>
      <c r="D47" s="261"/>
      <c r="E47" s="261"/>
    </row>
    <row r="48" spans="2:5" ht="18" x14ac:dyDescent="0.25">
      <c r="B48" s="261"/>
      <c r="C48" s="261"/>
      <c r="D48" s="261"/>
      <c r="E48" s="261"/>
    </row>
  </sheetData>
  <mergeCells count="16">
    <mergeCell ref="B35:E35"/>
    <mergeCell ref="B2:F2"/>
    <mergeCell ref="B3:F3"/>
    <mergeCell ref="B4:F4"/>
    <mergeCell ref="B5:F5"/>
    <mergeCell ref="C34:D34"/>
    <mergeCell ref="C42:D42"/>
    <mergeCell ref="C43:D43"/>
    <mergeCell ref="B44:E44"/>
    <mergeCell ref="C45:D45"/>
    <mergeCell ref="C36:D36"/>
    <mergeCell ref="C37:D37"/>
    <mergeCell ref="C38:D38"/>
    <mergeCell ref="C39:D39"/>
    <mergeCell ref="C40:D40"/>
    <mergeCell ref="C41:D41"/>
  </mergeCells>
  <pageMargins left="0.75" right="0.75" top="1" bottom="1" header="0.5" footer="0.5"/>
  <pageSetup scale="90" orientation="portrait"/>
  <headerFooter alignWithMargins="0">
    <oddHeader xml:space="preserve">&amp;R
</oddHeader>
    <oddFooter xml:space="preserve">&amp;CTotals may vary due to rounding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3">
    <tabColor theme="9" tint="0.39997558519241921"/>
    <pageSetUpPr fitToPage="1"/>
  </sheetPr>
  <dimension ref="A2:Q76"/>
  <sheetViews>
    <sheetView showGridLines="0" topLeftCell="C1" zoomScale="70" zoomScaleNormal="70" workbookViewId="0">
      <pane ySplit="6" topLeftCell="A7" activePane="bottomLeft" state="frozen"/>
      <selection activeCell="D1" sqref="D1"/>
      <selection pane="bottomLeft" activeCell="D2" sqref="D2:P2"/>
    </sheetView>
  </sheetViews>
  <sheetFormatPr defaultColWidth="9.140625" defaultRowHeight="18" x14ac:dyDescent="0.25"/>
  <cols>
    <col min="1" max="2" width="4" style="261" hidden="1" customWidth="1"/>
    <col min="3" max="3" width="4" style="261" customWidth="1"/>
    <col min="4" max="4" width="92.140625" style="261" bestFit="1" customWidth="1"/>
    <col min="5" max="5" width="21.7109375" style="287" hidden="1" customWidth="1"/>
    <col min="6" max="11" width="21.7109375" style="287" customWidth="1"/>
    <col min="12" max="12" width="21.7109375" style="261" customWidth="1"/>
    <col min="13" max="13" width="23.42578125" style="261" customWidth="1"/>
    <col min="14" max="14" width="23.140625" style="261" customWidth="1"/>
    <col min="15" max="15" width="22.7109375" style="261" customWidth="1"/>
    <col min="16" max="17" width="21.85546875" style="261" customWidth="1"/>
    <col min="18" max="16384" width="9.140625" style="261"/>
  </cols>
  <sheetData>
    <row r="2" spans="1:17" ht="21" customHeight="1" x14ac:dyDescent="0.35">
      <c r="A2" s="287"/>
      <c r="B2" s="287"/>
      <c r="C2" s="287"/>
      <c r="D2" s="869" t="s">
        <v>147</v>
      </c>
      <c r="E2" s="869"/>
      <c r="F2" s="869"/>
      <c r="G2" s="869"/>
      <c r="H2" s="869"/>
      <c r="I2" s="869"/>
      <c r="J2" s="869"/>
      <c r="K2" s="869"/>
      <c r="L2" s="869"/>
      <c r="M2" s="869"/>
      <c r="N2" s="869"/>
      <c r="O2" s="869"/>
      <c r="P2" s="869"/>
    </row>
    <row r="3" spans="1:17" ht="24" customHeight="1" x14ac:dyDescent="0.35">
      <c r="A3" s="287"/>
      <c r="B3" s="360"/>
      <c r="C3" s="360"/>
      <c r="D3" s="950" t="s">
        <v>177</v>
      </c>
      <c r="E3" s="950"/>
      <c r="F3" s="950"/>
      <c r="G3" s="950"/>
      <c r="H3" s="950"/>
      <c r="I3" s="950"/>
      <c r="J3" s="950"/>
      <c r="K3" s="950"/>
      <c r="L3" s="950"/>
      <c r="M3" s="950"/>
      <c r="N3" s="950"/>
      <c r="O3" s="950"/>
      <c r="P3" s="950"/>
    </row>
    <row r="4" spans="1:17" ht="24" customHeight="1" thickBot="1" x14ac:dyDescent="0.3">
      <c r="A4" s="287"/>
      <c r="D4" s="358"/>
    </row>
    <row r="5" spans="1:17" ht="26.25" customHeight="1" x14ac:dyDescent="0.25">
      <c r="A5" s="287"/>
      <c r="B5" s="360"/>
      <c r="C5" s="360"/>
      <c r="D5" s="250"/>
      <c r="E5" s="250">
        <v>2013</v>
      </c>
      <c r="F5" s="250">
        <v>2014</v>
      </c>
      <c r="G5" s="250">
        <v>2015</v>
      </c>
      <c r="H5" s="250">
        <v>2016</v>
      </c>
      <c r="I5" s="250">
        <v>2017</v>
      </c>
      <c r="J5" s="250">
        <v>2018</v>
      </c>
      <c r="K5" s="250">
        <v>2019</v>
      </c>
      <c r="L5" s="250">
        <v>2020</v>
      </c>
      <c r="M5" s="250">
        <v>2021</v>
      </c>
      <c r="N5" s="250">
        <v>2022</v>
      </c>
      <c r="O5" s="250">
        <v>2023</v>
      </c>
      <c r="P5" s="250">
        <v>2024</v>
      </c>
      <c r="Q5" s="250">
        <v>2025</v>
      </c>
    </row>
    <row r="6" spans="1:17" ht="20.25" customHeight="1" thickBot="1" x14ac:dyDescent="0.3">
      <c r="A6" s="300"/>
      <c r="B6" s="300"/>
      <c r="C6" s="300"/>
      <c r="D6" s="390"/>
      <c r="E6" s="391" t="s">
        <v>98</v>
      </c>
      <c r="F6" s="391" t="s">
        <v>98</v>
      </c>
      <c r="G6" s="391" t="s">
        <v>98</v>
      </c>
      <c r="H6" s="391" t="s">
        <v>98</v>
      </c>
      <c r="I6" s="391" t="s">
        <v>98</v>
      </c>
      <c r="J6" s="391" t="s">
        <v>98</v>
      </c>
      <c r="K6" s="391" t="s">
        <v>98</v>
      </c>
      <c r="L6" s="391" t="s">
        <v>98</v>
      </c>
      <c r="M6" s="391" t="s">
        <v>98</v>
      </c>
      <c r="N6" s="391" t="s">
        <v>10</v>
      </c>
      <c r="O6" s="391" t="s">
        <v>10</v>
      </c>
      <c r="P6" s="391" t="s">
        <v>10</v>
      </c>
      <c r="Q6" s="391" t="s">
        <v>10</v>
      </c>
    </row>
    <row r="7" spans="1:17" ht="24" customHeight="1" thickBot="1" x14ac:dyDescent="0.3">
      <c r="A7" s="300"/>
      <c r="B7" s="300"/>
      <c r="C7" s="300"/>
      <c r="D7" s="951" t="s">
        <v>15</v>
      </c>
      <c r="E7" s="951"/>
      <c r="F7" s="951"/>
      <c r="G7" s="951"/>
      <c r="H7" s="951"/>
      <c r="I7" s="951"/>
      <c r="J7" s="951"/>
      <c r="K7" s="951"/>
      <c r="L7" s="951"/>
      <c r="M7" s="951"/>
      <c r="N7" s="951"/>
      <c r="O7" s="951"/>
      <c r="P7" s="951"/>
    </row>
    <row r="8" spans="1:17" s="269" customFormat="1" ht="18.75" thickBot="1" x14ac:dyDescent="0.3">
      <c r="A8" s="361" t="s">
        <v>43</v>
      </c>
      <c r="B8" s="308"/>
      <c r="C8" s="308"/>
      <c r="D8" s="238" t="s">
        <v>153</v>
      </c>
      <c r="E8" s="359">
        <v>6509496</v>
      </c>
      <c r="F8" s="359">
        <v>11561025</v>
      </c>
      <c r="G8" s="359">
        <v>13693622</v>
      </c>
      <c r="H8" s="359">
        <v>14872860</v>
      </c>
      <c r="I8" s="359">
        <v>10154121.540000008</v>
      </c>
      <c r="J8" s="359">
        <v>6529899</v>
      </c>
      <c r="K8" s="359">
        <v>9516879.5399999991</v>
      </c>
      <c r="L8" s="359">
        <v>11189454.880000001</v>
      </c>
      <c r="M8" s="359">
        <f>'ES CT Electric Table A  '!G10</f>
        <v>8656062</v>
      </c>
      <c r="N8" s="359">
        <f>'ES CT Electric Table A  '!J10</f>
        <v>4158000</v>
      </c>
      <c r="O8" s="359">
        <f>'ES CT Electric Table A  '!N10</f>
        <v>3558000</v>
      </c>
      <c r="P8" s="359">
        <f>'ES CT Electric Table A  '!Q10</f>
        <v>3300000</v>
      </c>
      <c r="Q8" s="359">
        <f>'ES CT Electric Table A  '!R10</f>
        <v>3300000</v>
      </c>
    </row>
    <row r="9" spans="1:17" s="264" customFormat="1" ht="18.75" thickBot="1" x14ac:dyDescent="0.3">
      <c r="A9" s="361" t="s">
        <v>43</v>
      </c>
      <c r="B9" s="308"/>
      <c r="C9" s="308"/>
      <c r="D9" s="243" t="s">
        <v>158</v>
      </c>
      <c r="E9" s="359">
        <v>1433966</v>
      </c>
      <c r="F9" s="359">
        <v>1573724</v>
      </c>
      <c r="G9" s="359">
        <v>2516703</v>
      </c>
      <c r="H9" s="359">
        <v>2232996</v>
      </c>
      <c r="I9" s="359">
        <v>2887372.91</v>
      </c>
      <c r="J9" s="359">
        <v>2204292</v>
      </c>
      <c r="K9" s="359">
        <v>2032943.92</v>
      </c>
      <c r="L9" s="359">
        <v>2717015.95</v>
      </c>
      <c r="M9" s="359">
        <f>'ES CT Electric Table A  '!G11</f>
        <v>2965128</v>
      </c>
      <c r="N9" s="359">
        <f>'ES CT Electric Table A  '!J11</f>
        <v>3986389</v>
      </c>
      <c r="O9" s="359">
        <f>'ES CT Electric Table A  '!N11</f>
        <v>3505832</v>
      </c>
      <c r="P9" s="359">
        <f>'ES CT Electric Table A  '!Q11</f>
        <v>3482786</v>
      </c>
      <c r="Q9" s="359">
        <f>'ES CT Electric Table A  '!R11</f>
        <v>3450386</v>
      </c>
    </row>
    <row r="10" spans="1:17" s="264" customFormat="1" ht="34.5" customHeight="1" thickBot="1" x14ac:dyDescent="0.3">
      <c r="A10" s="361" t="s">
        <v>43</v>
      </c>
      <c r="B10" s="308"/>
      <c r="C10" s="308"/>
      <c r="D10" s="279" t="s">
        <v>419</v>
      </c>
      <c r="E10" s="359">
        <v>16041653</v>
      </c>
      <c r="F10" s="359">
        <v>22290930</v>
      </c>
      <c r="G10" s="359">
        <v>19186404</v>
      </c>
      <c r="H10" s="359">
        <v>15989863</v>
      </c>
      <c r="I10" s="359">
        <v>15512932.890000027</v>
      </c>
      <c r="J10" s="359">
        <v>10336611</v>
      </c>
      <c r="K10" s="359">
        <v>13824216.539999999</v>
      </c>
      <c r="L10" s="359">
        <v>20042757.780000001</v>
      </c>
      <c r="M10" s="359">
        <f>'ES CT Electric Table A  '!G12</f>
        <v>33889599</v>
      </c>
      <c r="N10" s="359">
        <f>'ES CT Electric Table A  '!J12</f>
        <v>24661742.699999999</v>
      </c>
      <c r="O10" s="359">
        <f>'ES CT Electric Table A  '!N12</f>
        <v>20600573.699999999</v>
      </c>
      <c r="P10" s="359">
        <f>'ES CT Electric Table A  '!Q12</f>
        <v>21190531.699999999</v>
      </c>
      <c r="Q10" s="359">
        <f>'ES CT Electric Table A  '!R12</f>
        <v>20974531.699999999</v>
      </c>
    </row>
    <row r="11" spans="1:17" s="631" customFormat="1" ht="18.75" thickBot="1" x14ac:dyDescent="0.3">
      <c r="A11" s="308" t="s">
        <v>43</v>
      </c>
      <c r="B11" s="308"/>
      <c r="C11" s="308"/>
      <c r="D11" s="279" t="s">
        <v>520</v>
      </c>
      <c r="E11" s="359">
        <v>0</v>
      </c>
      <c r="F11" s="359">
        <v>0</v>
      </c>
      <c r="G11" s="359">
        <v>0</v>
      </c>
      <c r="H11" s="359">
        <v>3597327</v>
      </c>
      <c r="I11" s="359">
        <v>4050111.0400000019</v>
      </c>
      <c r="J11" s="359">
        <v>4048082</v>
      </c>
      <c r="K11" s="359">
        <v>5285076</v>
      </c>
      <c r="L11" s="359">
        <v>9702174.9299999997</v>
      </c>
      <c r="M11" s="359">
        <f>'ES CT Electric Table A  '!G13</f>
        <v>12072073</v>
      </c>
      <c r="N11" s="359">
        <f>'ES CT Electric Table A  '!J13</f>
        <v>14463704</v>
      </c>
      <c r="O11" s="359">
        <f>'ES CT Electric Table A  '!N13</f>
        <v>13928670</v>
      </c>
      <c r="P11" s="359">
        <f>'ES CT Electric Table A  '!Q13</f>
        <v>13506628</v>
      </c>
      <c r="Q11" s="359">
        <f>'ES CT Electric Table A  '!R13</f>
        <v>13377028</v>
      </c>
    </row>
    <row r="12" spans="1:17" ht="18.75" thickBot="1" x14ac:dyDescent="0.3">
      <c r="A12" s="361" t="s">
        <v>43</v>
      </c>
      <c r="B12" s="308"/>
      <c r="C12" s="308"/>
      <c r="D12" s="238" t="s">
        <v>276</v>
      </c>
      <c r="E12" s="359">
        <v>9593140</v>
      </c>
      <c r="F12" s="359">
        <v>17488762</v>
      </c>
      <c r="G12" s="359">
        <v>17345096</v>
      </c>
      <c r="H12" s="359">
        <v>21471052</v>
      </c>
      <c r="I12" s="359">
        <v>16379801.35999999</v>
      </c>
      <c r="J12" s="359">
        <v>11599849</v>
      </c>
      <c r="K12" s="359">
        <v>15993834</v>
      </c>
      <c r="L12" s="359">
        <v>14316610.92</v>
      </c>
      <c r="M12" s="359">
        <f>'ES CT Electric Table A  '!G14</f>
        <v>19925766</v>
      </c>
      <c r="N12" s="359">
        <f>'ES CT Electric Table A  '!J14</f>
        <v>18444360</v>
      </c>
      <c r="O12" s="359">
        <f>'ES CT Electric Table A  '!N14</f>
        <v>15983645</v>
      </c>
      <c r="P12" s="359">
        <f>'ES CT Electric Table A  '!Q14</f>
        <v>15732025</v>
      </c>
      <c r="Q12" s="359">
        <f>'ES CT Electric Table A  '!R14</f>
        <v>15570025</v>
      </c>
    </row>
    <row r="13" spans="1:17" ht="18.75" thickBot="1" x14ac:dyDescent="0.3">
      <c r="A13" s="361" t="s">
        <v>43</v>
      </c>
      <c r="B13" s="308"/>
      <c r="C13" s="308"/>
      <c r="D13" s="238" t="s">
        <v>140</v>
      </c>
      <c r="E13" s="359">
        <v>0</v>
      </c>
      <c r="F13" s="359">
        <v>2703694</v>
      </c>
      <c r="G13" s="359">
        <v>2392079</v>
      </c>
      <c r="H13" s="359">
        <v>2909233</v>
      </c>
      <c r="I13" s="359">
        <v>2954049.46</v>
      </c>
      <c r="J13" s="359">
        <v>526083</v>
      </c>
      <c r="K13" s="359">
        <v>1001198.74</v>
      </c>
      <c r="L13" s="359">
        <v>0</v>
      </c>
      <c r="M13" s="359">
        <f>'ES CT Electric Table A  '!G15</f>
        <v>0</v>
      </c>
      <c r="N13" s="359">
        <f>'ES CT Electric Table A  '!J15</f>
        <v>90000</v>
      </c>
      <c r="O13" s="359">
        <f>'ES CT Electric Table A  '!N15</f>
        <v>90000</v>
      </c>
      <c r="P13" s="359">
        <f>'ES CT Electric Table A  '!Q15</f>
        <v>90000</v>
      </c>
      <c r="Q13" s="359">
        <f>'ES CT Electric Table A  '!R15</f>
        <v>90000</v>
      </c>
    </row>
    <row r="14" spans="1:17" ht="18.75" thickBot="1" x14ac:dyDescent="0.3">
      <c r="A14" s="308"/>
      <c r="B14" s="308"/>
      <c r="C14" s="308"/>
      <c r="D14" s="245" t="s">
        <v>275</v>
      </c>
      <c r="E14" s="373">
        <f>SUM(E8:E13)</f>
        <v>33578255</v>
      </c>
      <c r="F14" s="373">
        <f t="shared" ref="F14:P14" si="0">SUM(F8:F13)</f>
        <v>55618135</v>
      </c>
      <c r="G14" s="373">
        <f t="shared" si="0"/>
        <v>55133904</v>
      </c>
      <c r="H14" s="373">
        <f t="shared" si="0"/>
        <v>61073331</v>
      </c>
      <c r="I14" s="373">
        <f t="shared" si="0"/>
        <v>51938389.200000025</v>
      </c>
      <c r="J14" s="373">
        <f t="shared" si="0"/>
        <v>35244816</v>
      </c>
      <c r="K14" s="373">
        <f t="shared" si="0"/>
        <v>47654148.740000002</v>
      </c>
      <c r="L14" s="373">
        <f t="shared" si="0"/>
        <v>57968014.460000001</v>
      </c>
      <c r="M14" s="373">
        <f t="shared" si="0"/>
        <v>77508628</v>
      </c>
      <c r="N14" s="373">
        <f>SUM(N8:N13)</f>
        <v>65804195.700000003</v>
      </c>
      <c r="O14" s="373">
        <f t="shared" ref="O14" si="1">SUM(O8:O13)</f>
        <v>57666720.700000003</v>
      </c>
      <c r="P14" s="373">
        <f t="shared" si="0"/>
        <v>57301970.700000003</v>
      </c>
      <c r="Q14" s="373">
        <f t="shared" ref="Q14" si="2">SUM(Q8:Q13)</f>
        <v>56761970.700000003</v>
      </c>
    </row>
    <row r="15" spans="1:17" ht="18.75" thickBot="1" x14ac:dyDescent="0.3">
      <c r="A15" s="362"/>
      <c r="B15" s="308"/>
      <c r="C15" s="308"/>
      <c r="D15" s="858" t="s">
        <v>16</v>
      </c>
      <c r="E15" s="858"/>
      <c r="F15" s="858"/>
      <c r="G15" s="858"/>
      <c r="H15" s="858"/>
      <c r="I15" s="858"/>
      <c r="J15" s="858"/>
      <c r="K15" s="858"/>
      <c r="L15" s="858"/>
      <c r="M15" s="858"/>
      <c r="N15" s="858"/>
      <c r="O15" s="858"/>
      <c r="P15" s="858"/>
    </row>
    <row r="16" spans="1:17" ht="18.75" thickBot="1" x14ac:dyDescent="0.3">
      <c r="A16" s="363" t="s">
        <v>44</v>
      </c>
      <c r="B16" s="308"/>
      <c r="C16" s="308"/>
      <c r="D16" s="296" t="s">
        <v>159</v>
      </c>
      <c r="E16" s="359">
        <v>9947172.8000000007</v>
      </c>
      <c r="F16" s="359">
        <v>13875080.33</v>
      </c>
      <c r="G16" s="359">
        <v>12124674</v>
      </c>
      <c r="H16" s="359">
        <v>12287599</v>
      </c>
      <c r="I16" s="359">
        <v>6718339.7800000124</v>
      </c>
      <c r="J16" s="359">
        <v>6632889.8200000003</v>
      </c>
      <c r="K16" s="359">
        <v>9466049</v>
      </c>
      <c r="L16" s="359">
        <v>12436628</v>
      </c>
      <c r="M16" s="359">
        <f>'ES CT Electric Table A  '!G18</f>
        <v>10589867</v>
      </c>
      <c r="N16" s="359">
        <f>'ES CT Electric Table A  '!J18</f>
        <v>13513265.475251701</v>
      </c>
      <c r="O16" s="359">
        <f>'ES CT Electric Table A  '!N18</f>
        <v>11494349.475251701</v>
      </c>
      <c r="P16" s="359">
        <f>'ES CT Electric Table A  '!Q18</f>
        <v>10900633.455251701</v>
      </c>
      <c r="Q16" s="359">
        <f>'ES CT Electric Table A  '!R18</f>
        <v>10783021.0952517</v>
      </c>
    </row>
    <row r="17" spans="1:17" ht="18.75" thickBot="1" x14ac:dyDescent="0.3">
      <c r="A17" s="363" t="s">
        <v>44</v>
      </c>
      <c r="B17" s="308"/>
      <c r="C17" s="308"/>
      <c r="D17" s="238" t="s">
        <v>160</v>
      </c>
      <c r="E17" s="359">
        <v>20924236.66</v>
      </c>
      <c r="F17" s="359">
        <v>29217060</v>
      </c>
      <c r="G17" s="359">
        <v>33338936</v>
      </c>
      <c r="H17" s="359">
        <v>40154158</v>
      </c>
      <c r="I17" s="359">
        <v>24882343.300000027</v>
      </c>
      <c r="J17" s="359">
        <v>29689127.789999999</v>
      </c>
      <c r="K17" s="359">
        <v>38558761</v>
      </c>
      <c r="L17" s="359">
        <v>45020584</v>
      </c>
      <c r="M17" s="359">
        <f>'ES CT Electric Table A  '!G19</f>
        <v>37034760</v>
      </c>
      <c r="N17" s="359">
        <f>'ES CT Electric Table A  '!J19</f>
        <v>36833450.623665601</v>
      </c>
      <c r="O17" s="359">
        <f>'ES CT Electric Table A  '!N19</f>
        <v>32903887.623665601</v>
      </c>
      <c r="P17" s="359">
        <f>'ES CT Electric Table A  '!Q19</f>
        <v>32921033.173665602</v>
      </c>
      <c r="Q17" s="359">
        <f>'ES CT Electric Table A  '!R19</f>
        <v>32561662.0736656</v>
      </c>
    </row>
    <row r="18" spans="1:17" ht="36.75" thickBot="1" x14ac:dyDescent="0.3">
      <c r="A18" s="363" t="s">
        <v>44</v>
      </c>
      <c r="B18" s="308"/>
      <c r="C18" s="308"/>
      <c r="D18" s="279" t="s">
        <v>418</v>
      </c>
      <c r="E18" s="359">
        <f>1649654.3+478403.08</f>
        <v>2128057.38</v>
      </c>
      <c r="F18" s="359">
        <f>2422682+476451.44</f>
        <v>2899133.44</v>
      </c>
      <c r="G18" s="359">
        <f>2737390+603146</f>
        <v>3340536</v>
      </c>
      <c r="H18" s="359">
        <v>2501793</v>
      </c>
      <c r="I18" s="359">
        <v>1484576.4200000002</v>
      </c>
      <c r="J18" s="359">
        <v>2977132.6</v>
      </c>
      <c r="K18" s="359">
        <v>1555925.67</v>
      </c>
      <c r="L18" s="359">
        <v>969960</v>
      </c>
      <c r="M18" s="359">
        <f>'ES CT Electric Table A  '!G20</f>
        <v>842631</v>
      </c>
      <c r="N18" s="359">
        <f>'ES CT Electric Table A  '!J20</f>
        <v>3175965.7412745301</v>
      </c>
      <c r="O18" s="359">
        <f>'ES CT Electric Table A  '!N20</f>
        <v>3001154.7412745301</v>
      </c>
      <c r="P18" s="359">
        <f>'ES CT Electric Table A  '!Q20</f>
        <v>3352172.4012745302</v>
      </c>
      <c r="Q18" s="359">
        <f>'ES CT Electric Table A  '!R20</f>
        <v>3312968.2812745301</v>
      </c>
    </row>
    <row r="19" spans="1:17" ht="18.75" thickBot="1" x14ac:dyDescent="0.3">
      <c r="A19" s="363" t="s">
        <v>44</v>
      </c>
      <c r="B19" s="308"/>
      <c r="C19" s="308"/>
      <c r="D19" s="238" t="s">
        <v>117</v>
      </c>
      <c r="E19" s="347">
        <v>13329552.43</v>
      </c>
      <c r="F19" s="347">
        <v>16021475</v>
      </c>
      <c r="G19" s="347">
        <v>15508750</v>
      </c>
      <c r="H19" s="347">
        <v>17615309</v>
      </c>
      <c r="I19" s="347">
        <v>16212429.74</v>
      </c>
      <c r="J19" s="347">
        <v>11613734</v>
      </c>
      <c r="K19" s="347">
        <v>8951760</v>
      </c>
      <c r="L19" s="347">
        <v>5382744</v>
      </c>
      <c r="M19" s="347">
        <f>'ES CT Electric Table A  '!G21</f>
        <v>12300907</v>
      </c>
      <c r="N19" s="347">
        <f>'ES CT Electric Table A  '!J21</f>
        <v>14526524.838563601</v>
      </c>
      <c r="O19" s="347">
        <f>'ES CT Electric Table A  '!N21</f>
        <v>11843209.838563601</v>
      </c>
      <c r="P19" s="347">
        <f>'ES CT Electric Table A  '!Q21</f>
        <v>12363153.648563601</v>
      </c>
      <c r="Q19" s="347">
        <f>'ES CT Electric Table A  '!R21</f>
        <v>12225939.228563601</v>
      </c>
    </row>
    <row r="20" spans="1:17" s="264" customFormat="1" ht="18.75" thickBot="1" x14ac:dyDescent="0.3">
      <c r="A20" s="364"/>
      <c r="B20" s="365"/>
      <c r="C20" s="365"/>
      <c r="D20" s="259" t="s">
        <v>277</v>
      </c>
      <c r="E20" s="373">
        <f t="shared" ref="E20:P20" si="3">SUM(E16:E19)</f>
        <v>46329019.269999996</v>
      </c>
      <c r="F20" s="373">
        <f t="shared" si="3"/>
        <v>62012748.769999996</v>
      </c>
      <c r="G20" s="373">
        <f t="shared" si="3"/>
        <v>64312896</v>
      </c>
      <c r="H20" s="373">
        <f t="shared" si="3"/>
        <v>72558859</v>
      </c>
      <c r="I20" s="373">
        <f t="shared" si="3"/>
        <v>49297689.240000039</v>
      </c>
      <c r="J20" s="373">
        <f t="shared" si="3"/>
        <v>50912884.210000001</v>
      </c>
      <c r="K20" s="373">
        <f t="shared" si="3"/>
        <v>58532495.670000002</v>
      </c>
      <c r="L20" s="373">
        <f t="shared" si="3"/>
        <v>63809916</v>
      </c>
      <c r="M20" s="373">
        <f t="shared" si="3"/>
        <v>60768165</v>
      </c>
      <c r="N20" s="373">
        <f t="shared" si="3"/>
        <v>68049206.678755432</v>
      </c>
      <c r="O20" s="373">
        <f t="shared" si="3"/>
        <v>59242601.678755432</v>
      </c>
      <c r="P20" s="373">
        <f t="shared" si="3"/>
        <v>59536992.67875544</v>
      </c>
      <c r="Q20" s="373">
        <f t="shared" ref="Q20" si="4">SUM(Q16:Q19)</f>
        <v>58883590.678755425</v>
      </c>
    </row>
    <row r="21" spans="1:17" ht="24" customHeight="1" thickBot="1" x14ac:dyDescent="0.3">
      <c r="A21" s="362"/>
      <c r="B21" s="308"/>
      <c r="C21" s="308"/>
      <c r="D21" s="856" t="s">
        <v>19</v>
      </c>
      <c r="E21" s="856"/>
      <c r="F21" s="856"/>
      <c r="G21" s="856"/>
      <c r="H21" s="856"/>
      <c r="I21" s="856"/>
      <c r="J21" s="856"/>
      <c r="K21" s="856"/>
      <c r="L21" s="856"/>
      <c r="M21" s="856"/>
      <c r="N21" s="856"/>
      <c r="O21" s="856"/>
      <c r="P21" s="856"/>
    </row>
    <row r="22" spans="1:17" ht="18.75" thickBot="1" x14ac:dyDescent="0.3">
      <c r="A22" s="363" t="s">
        <v>44</v>
      </c>
      <c r="B22" s="308"/>
      <c r="C22" s="308"/>
      <c r="D22" s="242" t="s">
        <v>118</v>
      </c>
      <c r="E22" s="359">
        <v>4128416.4</v>
      </c>
      <c r="F22" s="359">
        <v>3632291</v>
      </c>
      <c r="G22" s="359">
        <v>2574236</v>
      </c>
      <c r="H22" s="359">
        <v>2414427</v>
      </c>
      <c r="I22" s="359">
        <v>2387350.5899999994</v>
      </c>
      <c r="J22" s="359">
        <v>1230295.1000000001</v>
      </c>
      <c r="K22" s="359">
        <v>0</v>
      </c>
      <c r="L22" s="359">
        <v>0</v>
      </c>
      <c r="M22" s="359">
        <v>0</v>
      </c>
      <c r="N22" s="359">
        <v>0</v>
      </c>
      <c r="O22" s="359">
        <v>0</v>
      </c>
      <c r="P22" s="359">
        <v>0</v>
      </c>
      <c r="Q22" s="359">
        <v>0</v>
      </c>
    </row>
    <row r="23" spans="1:17" ht="18.75" thickBot="1" x14ac:dyDescent="0.3">
      <c r="A23" s="361" t="s">
        <v>43</v>
      </c>
      <c r="B23" s="308"/>
      <c r="C23" s="308"/>
      <c r="D23" s="242" t="s">
        <v>256</v>
      </c>
      <c r="E23" s="359">
        <v>0</v>
      </c>
      <c r="F23" s="359">
        <v>0</v>
      </c>
      <c r="G23" s="359">
        <v>0</v>
      </c>
      <c r="H23" s="359">
        <v>859080</v>
      </c>
      <c r="I23" s="359">
        <v>891827.37000000011</v>
      </c>
      <c r="J23" s="359">
        <v>528780.41</v>
      </c>
      <c r="K23" s="359">
        <v>760192.41</v>
      </c>
      <c r="L23" s="359">
        <v>1867994.49</v>
      </c>
      <c r="M23" s="359">
        <f>'ES CT Electric Table A  '!G24</f>
        <v>2510466.7000000002</v>
      </c>
      <c r="N23" s="359">
        <f>'ES CT Electric Table A  '!J24</f>
        <v>3340000</v>
      </c>
      <c r="O23" s="359">
        <f>'ES CT Electric Table A  '!N24</f>
        <v>3082000</v>
      </c>
      <c r="P23" s="359">
        <f>'ES CT Electric Table A  '!Q24</f>
        <v>3390200.0000000005</v>
      </c>
      <c r="Q23" s="359">
        <f>'ES CT Electric Table A  '!R24</f>
        <v>3729220.0000000009</v>
      </c>
    </row>
    <row r="24" spans="1:17" ht="18.75" thickBot="1" x14ac:dyDescent="0.3">
      <c r="A24" s="363" t="s">
        <v>44</v>
      </c>
      <c r="B24" s="308"/>
      <c r="C24" s="308"/>
      <c r="D24" s="242" t="s">
        <v>258</v>
      </c>
      <c r="E24" s="359">
        <v>0</v>
      </c>
      <c r="F24" s="359">
        <v>0</v>
      </c>
      <c r="G24" s="359">
        <v>0</v>
      </c>
      <c r="H24" s="359">
        <v>45345.13</v>
      </c>
      <c r="I24" s="359">
        <v>785216.24</v>
      </c>
      <c r="J24" s="359">
        <v>237674</v>
      </c>
      <c r="K24" s="359">
        <v>719003.19</v>
      </c>
      <c r="L24" s="359">
        <v>2470465.21</v>
      </c>
      <c r="M24" s="359">
        <f>'ES CT Electric Table A  '!G25</f>
        <v>3375612.57</v>
      </c>
      <c r="N24" s="359">
        <f>'ES CT Electric Table A  '!J25</f>
        <v>4753000</v>
      </c>
      <c r="O24" s="359">
        <f>'ES CT Electric Table A  '!N25</f>
        <v>4380590</v>
      </c>
      <c r="P24" s="359">
        <f>'ES CT Electric Table A  '!Q25</f>
        <v>4818649</v>
      </c>
      <c r="Q24" s="359">
        <f>'ES CT Electric Table A  '!R25</f>
        <v>5300513.9000000004</v>
      </c>
    </row>
    <row r="25" spans="1:17" ht="20.25" customHeight="1" thickBot="1" x14ac:dyDescent="0.3">
      <c r="A25" s="308"/>
      <c r="B25" s="308"/>
      <c r="C25" s="308"/>
      <c r="D25" s="259" t="s">
        <v>280</v>
      </c>
      <c r="E25" s="373">
        <f>SUM(E22:E22)</f>
        <v>4128416.4</v>
      </c>
      <c r="F25" s="373">
        <f>SUM(F22:F22)</f>
        <v>3632291</v>
      </c>
      <c r="G25" s="373">
        <f>SUM(G22:G22)</f>
        <v>2574236</v>
      </c>
      <c r="H25" s="373">
        <f>SUM(H22:H24)</f>
        <v>3318852.13</v>
      </c>
      <c r="I25" s="373">
        <f>SUM(I22:I24)</f>
        <v>4064394.1999999993</v>
      </c>
      <c r="J25" s="373">
        <f>SUM(J22:J24)</f>
        <v>1996749.5100000002</v>
      </c>
      <c r="K25" s="373">
        <f>SUM(K22:K24)</f>
        <v>1479195.6</v>
      </c>
      <c r="L25" s="373">
        <f>SUM(L22:L24)</f>
        <v>4338459.7</v>
      </c>
      <c r="M25" s="373">
        <f>'ES CT Electric Table A  '!G26</f>
        <v>5886079.2699999996</v>
      </c>
      <c r="N25" s="373">
        <f>'ES CT Electric Table A  '!J26</f>
        <v>8093000</v>
      </c>
      <c r="O25" s="373">
        <f>'ES CT Electric Table A  '!M26</f>
        <v>7462590</v>
      </c>
      <c r="P25" s="373">
        <f>'ES CT Electric Table A  '!P26</f>
        <v>8048107.7000000002</v>
      </c>
      <c r="Q25" s="373">
        <f>'ES CT Electric Table A  '!R26</f>
        <v>9029733.9000000022</v>
      </c>
    </row>
    <row r="26" spans="1:17" ht="18.75" thickBot="1" x14ac:dyDescent="0.3">
      <c r="A26" s="308"/>
      <c r="B26" s="308"/>
      <c r="C26" s="308"/>
      <c r="D26" s="856" t="s">
        <v>262</v>
      </c>
      <c r="E26" s="856"/>
      <c r="F26" s="856"/>
      <c r="G26" s="856"/>
      <c r="H26" s="856"/>
      <c r="I26" s="856"/>
      <c r="J26" s="856"/>
      <c r="K26" s="856"/>
      <c r="L26" s="856"/>
      <c r="M26" s="856"/>
      <c r="N26" s="856"/>
      <c r="O26" s="856"/>
      <c r="P26" s="856"/>
    </row>
    <row r="27" spans="1:17" ht="18.75" thickBot="1" x14ac:dyDescent="0.3">
      <c r="A27" s="366" t="s">
        <v>18</v>
      </c>
      <c r="B27" s="308"/>
      <c r="C27" s="308"/>
      <c r="D27" s="577" t="s">
        <v>420</v>
      </c>
      <c r="E27" s="359">
        <v>0</v>
      </c>
      <c r="F27" s="359">
        <v>0</v>
      </c>
      <c r="G27" s="359">
        <v>0</v>
      </c>
      <c r="H27" s="359">
        <v>392352</v>
      </c>
      <c r="I27" s="359">
        <v>706600.9999999993</v>
      </c>
      <c r="J27" s="359">
        <v>-1626</v>
      </c>
      <c r="K27" s="359">
        <v>316990.24</v>
      </c>
      <c r="L27" s="359">
        <v>250731.51999999999</v>
      </c>
      <c r="M27" s="359">
        <f>'ES CT Electric Table A  '!G28</f>
        <v>287255</v>
      </c>
      <c r="N27" s="359">
        <f>'ES CT Electric Table A  '!J28</f>
        <v>736000</v>
      </c>
      <c r="O27" s="359">
        <f>'ES CT Electric Table A  '!N28</f>
        <v>736000</v>
      </c>
      <c r="P27" s="359">
        <f>'ES CT Electric Table A  '!Q28</f>
        <v>736000</v>
      </c>
      <c r="Q27" s="359">
        <f>'ES CT Electric Table A  '!R28</f>
        <v>736000</v>
      </c>
    </row>
    <row r="28" spans="1:17" ht="18.75" thickBot="1" x14ac:dyDescent="0.3">
      <c r="A28" s="366" t="s">
        <v>196</v>
      </c>
      <c r="B28" s="308"/>
      <c r="C28" s="308"/>
      <c r="D28" s="577" t="s">
        <v>421</v>
      </c>
      <c r="E28" s="359">
        <v>0</v>
      </c>
      <c r="F28" s="359">
        <v>0</v>
      </c>
      <c r="G28" s="359">
        <v>0</v>
      </c>
      <c r="H28" s="359">
        <v>268446</v>
      </c>
      <c r="I28" s="359">
        <v>168210.73999999996</v>
      </c>
      <c r="J28" s="359">
        <v>84770</v>
      </c>
      <c r="K28" s="359">
        <v>53937</v>
      </c>
      <c r="L28" s="359">
        <v>363120</v>
      </c>
      <c r="M28" s="359">
        <f>'ES CT Electric Table A  '!G29</f>
        <v>323082</v>
      </c>
      <c r="N28" s="359">
        <f>'ES CT Electric Table A  '!J29</f>
        <v>893600</v>
      </c>
      <c r="O28" s="359">
        <f>'ES CT Electric Table A  '!N29</f>
        <v>793600</v>
      </c>
      <c r="P28" s="359">
        <f>'ES CT Electric Table A  '!Q29</f>
        <v>793600</v>
      </c>
      <c r="Q28" s="359">
        <f>'ES CT Electric Table A  '!R29</f>
        <v>793600</v>
      </c>
    </row>
    <row r="29" spans="1:17" ht="18.75" thickBot="1" x14ac:dyDescent="0.3">
      <c r="A29" s="366" t="s">
        <v>196</v>
      </c>
      <c r="B29" s="308"/>
      <c r="C29" s="308"/>
      <c r="D29" s="577" t="s">
        <v>422</v>
      </c>
      <c r="E29" s="359">
        <v>0</v>
      </c>
      <c r="F29" s="359">
        <v>0</v>
      </c>
      <c r="G29" s="359">
        <v>0</v>
      </c>
      <c r="H29" s="359">
        <v>1926470</v>
      </c>
      <c r="I29" s="359">
        <v>1934418.0000000007</v>
      </c>
      <c r="J29" s="359">
        <v>562325</v>
      </c>
      <c r="K29" s="359">
        <v>656954.26</v>
      </c>
      <c r="L29" s="359">
        <v>385116</v>
      </c>
      <c r="M29" s="359">
        <f>'ES CT Electric Table A  '!G30</f>
        <v>562598</v>
      </c>
      <c r="N29" s="359">
        <f>'ES CT Electric Table A  '!J30</f>
        <v>768000</v>
      </c>
      <c r="O29" s="359">
        <f>'ES CT Electric Table A  '!N30</f>
        <v>768000</v>
      </c>
      <c r="P29" s="359">
        <f>'ES CT Electric Table A  '!Q30</f>
        <v>806400</v>
      </c>
      <c r="Q29" s="359">
        <f>'ES CT Electric Table A  '!R30</f>
        <v>846720</v>
      </c>
    </row>
    <row r="30" spans="1:17" ht="18.75" thickBot="1" x14ac:dyDescent="0.3">
      <c r="A30" s="366" t="s">
        <v>18</v>
      </c>
      <c r="B30" s="308"/>
      <c r="C30" s="308"/>
      <c r="D30" s="577" t="s">
        <v>423</v>
      </c>
      <c r="E30" s="359">
        <v>0</v>
      </c>
      <c r="F30" s="359">
        <v>1817979</v>
      </c>
      <c r="G30" s="359">
        <v>1968000</v>
      </c>
      <c r="H30" s="359">
        <v>1603922</v>
      </c>
      <c r="I30" s="359">
        <v>1507721.1399999997</v>
      </c>
      <c r="J30" s="359">
        <v>1350290</v>
      </c>
      <c r="K30" s="359">
        <v>1376151.15</v>
      </c>
      <c r="L30" s="359">
        <v>1330908.8700000001</v>
      </c>
      <c r="M30" s="359">
        <f>'ES CT Electric Table A  '!G31</f>
        <v>876300.83</v>
      </c>
      <c r="N30" s="359">
        <f>'ES CT Electric Table A  '!J31</f>
        <v>450000</v>
      </c>
      <c r="O30" s="359">
        <f>'ES CT Electric Table A  '!N31</f>
        <v>400000</v>
      </c>
      <c r="P30" s="359">
        <f>'ES CT Electric Table A  '!Q31</f>
        <v>400000</v>
      </c>
      <c r="Q30" s="359">
        <f>'ES CT Electric Table A  '!R31</f>
        <v>400000</v>
      </c>
    </row>
    <row r="31" spans="1:17" ht="18.75" thickBot="1" x14ac:dyDescent="0.3">
      <c r="A31" s="366" t="s">
        <v>18</v>
      </c>
      <c r="B31" s="308"/>
      <c r="C31" s="308"/>
      <c r="D31" s="238" t="s">
        <v>95</v>
      </c>
      <c r="E31" s="359">
        <v>274908</v>
      </c>
      <c r="F31" s="359">
        <v>1157138</v>
      </c>
      <c r="G31" s="359">
        <v>463617</v>
      </c>
      <c r="H31" s="359">
        <v>0</v>
      </c>
      <c r="I31" s="359">
        <v>0</v>
      </c>
      <c r="J31" s="359">
        <v>0</v>
      </c>
      <c r="K31" s="359">
        <v>0</v>
      </c>
      <c r="L31" s="359">
        <v>0</v>
      </c>
      <c r="M31" s="359">
        <v>0</v>
      </c>
      <c r="N31" s="359">
        <v>0</v>
      </c>
      <c r="O31" s="359">
        <v>0</v>
      </c>
      <c r="P31" s="359">
        <v>0</v>
      </c>
      <c r="Q31" s="359">
        <v>0</v>
      </c>
    </row>
    <row r="32" spans="1:17" ht="18.75" thickBot="1" x14ac:dyDescent="0.3">
      <c r="A32" s="366" t="s">
        <v>18</v>
      </c>
      <c r="B32" s="308"/>
      <c r="C32" s="308"/>
      <c r="D32" s="238" t="s">
        <v>94</v>
      </c>
      <c r="E32" s="359">
        <v>150392</v>
      </c>
      <c r="F32" s="359">
        <v>0</v>
      </c>
      <c r="G32" s="359">
        <v>0</v>
      </c>
      <c r="H32" s="359">
        <v>0</v>
      </c>
      <c r="I32" s="359">
        <v>0</v>
      </c>
      <c r="J32" s="359">
        <v>0</v>
      </c>
      <c r="K32" s="359">
        <v>0</v>
      </c>
      <c r="L32" s="359">
        <v>0</v>
      </c>
      <c r="M32" s="359">
        <v>0</v>
      </c>
      <c r="N32" s="359">
        <v>0</v>
      </c>
      <c r="O32" s="359">
        <v>0</v>
      </c>
      <c r="P32" s="359">
        <v>0</v>
      </c>
      <c r="Q32" s="359">
        <v>0</v>
      </c>
    </row>
    <row r="33" spans="1:17" ht="18.75" thickBot="1" x14ac:dyDescent="0.3">
      <c r="A33" s="366" t="s">
        <v>18</v>
      </c>
      <c r="B33" s="308"/>
      <c r="C33" s="308"/>
      <c r="D33" s="238" t="s">
        <v>137</v>
      </c>
      <c r="E33" s="359">
        <v>459334</v>
      </c>
      <c r="F33" s="359">
        <v>367115</v>
      </c>
      <c r="G33" s="359">
        <v>500780</v>
      </c>
      <c r="H33" s="359">
        <v>0</v>
      </c>
      <c r="I33" s="359">
        <v>0</v>
      </c>
      <c r="J33" s="359">
        <v>0</v>
      </c>
      <c r="K33" s="359">
        <v>0</v>
      </c>
      <c r="L33" s="359">
        <v>0</v>
      </c>
      <c r="M33" s="359">
        <v>0</v>
      </c>
      <c r="N33" s="359">
        <v>0</v>
      </c>
      <c r="O33" s="359">
        <v>0</v>
      </c>
      <c r="P33" s="359">
        <v>0</v>
      </c>
      <c r="Q33" s="359">
        <v>0</v>
      </c>
    </row>
    <row r="34" spans="1:17" ht="18.75" thickBot="1" x14ac:dyDescent="0.3">
      <c r="A34" s="366" t="s">
        <v>196</v>
      </c>
      <c r="B34" s="308"/>
      <c r="C34" s="308"/>
      <c r="D34" s="238" t="s">
        <v>138</v>
      </c>
      <c r="E34" s="359">
        <v>729253</v>
      </c>
      <c r="F34" s="359">
        <v>1045235</v>
      </c>
      <c r="G34" s="359">
        <v>1348330</v>
      </c>
      <c r="H34" s="359">
        <v>0</v>
      </c>
      <c r="I34" s="359">
        <v>0</v>
      </c>
      <c r="J34" s="359">
        <v>0</v>
      </c>
      <c r="K34" s="359">
        <v>0</v>
      </c>
      <c r="L34" s="359">
        <v>0</v>
      </c>
      <c r="M34" s="359">
        <v>0</v>
      </c>
      <c r="N34" s="359">
        <v>0</v>
      </c>
      <c r="O34" s="359">
        <v>0</v>
      </c>
      <c r="P34" s="359">
        <v>0</v>
      </c>
      <c r="Q34" s="359">
        <v>0</v>
      </c>
    </row>
    <row r="35" spans="1:17" ht="18.75" thickBot="1" x14ac:dyDescent="0.3">
      <c r="A35" s="362"/>
      <c r="B35" s="308"/>
      <c r="C35" s="308"/>
      <c r="D35" s="259" t="s">
        <v>278</v>
      </c>
      <c r="E35" s="373">
        <f t="shared" ref="E35:L35" si="5">SUM(E27:E34)</f>
        <v>1613887</v>
      </c>
      <c r="F35" s="373">
        <f t="shared" si="5"/>
        <v>4387467</v>
      </c>
      <c r="G35" s="373">
        <f t="shared" si="5"/>
        <v>4280727</v>
      </c>
      <c r="H35" s="373">
        <f t="shared" si="5"/>
        <v>4191190</v>
      </c>
      <c r="I35" s="373">
        <f t="shared" si="5"/>
        <v>4316950.88</v>
      </c>
      <c r="J35" s="373">
        <f t="shared" si="5"/>
        <v>1995759</v>
      </c>
      <c r="K35" s="373">
        <f t="shared" si="5"/>
        <v>2404032.65</v>
      </c>
      <c r="L35" s="373">
        <f t="shared" si="5"/>
        <v>2329876.39</v>
      </c>
      <c r="M35" s="373">
        <f t="shared" ref="M35:P35" si="6">SUM(M27:M34)</f>
        <v>2049235.83</v>
      </c>
      <c r="N35" s="373">
        <f t="shared" si="6"/>
        <v>2847600</v>
      </c>
      <c r="O35" s="373">
        <f t="shared" si="6"/>
        <v>2697600</v>
      </c>
      <c r="P35" s="373">
        <f t="shared" si="6"/>
        <v>2736000</v>
      </c>
      <c r="Q35" s="373">
        <f t="shared" ref="Q35" si="7">SUM(Q27:Q34)</f>
        <v>2776320</v>
      </c>
    </row>
    <row r="36" spans="1:17" ht="26.25" customHeight="1" thickBot="1" x14ac:dyDescent="0.3">
      <c r="A36" s="308"/>
      <c r="B36" s="308"/>
      <c r="C36" s="308"/>
      <c r="D36" s="856" t="s">
        <v>45</v>
      </c>
      <c r="E36" s="856"/>
      <c r="F36" s="856"/>
      <c r="G36" s="856"/>
      <c r="H36" s="856"/>
      <c r="I36" s="856"/>
      <c r="J36" s="856"/>
      <c r="K36" s="856"/>
      <c r="L36" s="856"/>
      <c r="M36" s="856"/>
      <c r="N36" s="856"/>
      <c r="O36" s="856"/>
      <c r="P36" s="856"/>
    </row>
    <row r="37" spans="1:17" ht="36.75" thickBot="1" x14ac:dyDescent="0.3">
      <c r="A37" s="361" t="s">
        <v>43</v>
      </c>
      <c r="B37" s="308"/>
      <c r="C37" s="308"/>
      <c r="D37" s="279" t="s">
        <v>306</v>
      </c>
      <c r="E37" s="359">
        <v>416865</v>
      </c>
      <c r="F37" s="359">
        <v>1509746</v>
      </c>
      <c r="G37" s="359">
        <v>2006330</v>
      </c>
      <c r="H37" s="359">
        <v>1929824</v>
      </c>
      <c r="I37" s="359">
        <v>477326.27</v>
      </c>
      <c r="J37" s="359">
        <v>1032277</v>
      </c>
      <c r="K37" s="359">
        <v>1500000</v>
      </c>
      <c r="L37" s="359">
        <v>2746177.84</v>
      </c>
      <c r="M37" s="359">
        <f>'ES CT Electric Table A  '!G34</f>
        <v>899985.77</v>
      </c>
      <c r="N37" s="359">
        <f>'ES CT Electric Table A  '!J34</f>
        <v>2750000.0550754499</v>
      </c>
      <c r="O37" s="359">
        <f>'ES CT Electric Table A  '!N34</f>
        <v>2000000.055075455</v>
      </c>
      <c r="P37" s="359">
        <f>'ES CT Electric Table A  '!Q34</f>
        <v>2500000.055075455</v>
      </c>
      <c r="Q37" s="359">
        <f>'ES CT Electric Table A  '!R34</f>
        <v>2500000.055075455</v>
      </c>
    </row>
    <row r="38" spans="1:17" ht="18.75" thickBot="1" x14ac:dyDescent="0.3">
      <c r="A38" s="363" t="s">
        <v>44</v>
      </c>
      <c r="B38" s="308"/>
      <c r="C38" s="308"/>
      <c r="D38" s="238" t="s">
        <v>195</v>
      </c>
      <c r="E38" s="359">
        <v>0</v>
      </c>
      <c r="F38" s="359">
        <v>0</v>
      </c>
      <c r="G38" s="359">
        <v>0</v>
      </c>
      <c r="H38" s="359">
        <v>6994639</v>
      </c>
      <c r="I38" s="359">
        <v>4060805.5099999984</v>
      </c>
      <c r="J38" s="359">
        <v>2677386</v>
      </c>
      <c r="K38" s="359">
        <v>17569775</v>
      </c>
      <c r="L38" s="359">
        <v>3103714.08</v>
      </c>
      <c r="M38" s="359">
        <f>'ES CT Electric Table A  '!G35</f>
        <v>812013.75</v>
      </c>
      <c r="N38" s="359">
        <f>'ES CT Electric Table A  '!J35</f>
        <v>1750000</v>
      </c>
      <c r="O38" s="359">
        <f>'ES CT Electric Table A  '!N35</f>
        <v>1000000</v>
      </c>
      <c r="P38" s="359">
        <f>'ES CT Electric Table A  '!Q35</f>
        <v>1500000</v>
      </c>
      <c r="Q38" s="359">
        <f>'ES CT Electric Table A  '!R35</f>
        <v>1500000</v>
      </c>
    </row>
    <row r="39" spans="1:17" ht="19.5" customHeight="1" thickBot="1" x14ac:dyDescent="0.3">
      <c r="A39" s="308" t="s">
        <v>46</v>
      </c>
      <c r="D39" s="242" t="s">
        <v>21</v>
      </c>
      <c r="E39" s="374">
        <v>198218.44</v>
      </c>
      <c r="F39" s="374">
        <v>267317</v>
      </c>
      <c r="G39" s="374">
        <v>177335</v>
      </c>
      <c r="H39" s="305">
        <v>208762</v>
      </c>
      <c r="I39" s="305">
        <v>84246.379999999976</v>
      </c>
      <c r="J39" s="305">
        <v>281632</v>
      </c>
      <c r="K39" s="305">
        <v>89136</v>
      </c>
      <c r="L39" s="305">
        <v>136027.44</v>
      </c>
      <c r="M39" s="305">
        <f>'ES CT Electric Table A  '!G36</f>
        <v>51833</v>
      </c>
      <c r="N39" s="305">
        <f>'ES CT Electric Table A  '!J36</f>
        <v>162226.85932861801</v>
      </c>
      <c r="O39" s="305">
        <f>'ES CT Electric Table A  '!N36</f>
        <v>162226.85932861801</v>
      </c>
      <c r="P39" s="305">
        <f>'ES CT Electric Table A  '!Q36</f>
        <v>162226.85932861801</v>
      </c>
      <c r="Q39" s="305">
        <f>'ES CT Electric Table A  '!R36</f>
        <v>162226.85932861801</v>
      </c>
    </row>
    <row r="40" spans="1:17" ht="36.75" thickBot="1" x14ac:dyDescent="0.3">
      <c r="A40" s="366" t="s">
        <v>196</v>
      </c>
      <c r="B40" s="308"/>
      <c r="C40" s="308"/>
      <c r="D40" s="280" t="s">
        <v>305</v>
      </c>
      <c r="E40" s="359">
        <v>448000</v>
      </c>
      <c r="F40" s="359">
        <v>358400</v>
      </c>
      <c r="G40" s="359">
        <v>396800</v>
      </c>
      <c r="H40" s="359">
        <v>0</v>
      </c>
      <c r="I40" s="359">
        <v>0</v>
      </c>
      <c r="J40" s="359">
        <v>0</v>
      </c>
      <c r="K40" s="359">
        <v>0</v>
      </c>
      <c r="L40" s="359">
        <v>0</v>
      </c>
      <c r="M40" s="359">
        <v>0</v>
      </c>
      <c r="N40" s="359">
        <v>0</v>
      </c>
      <c r="O40" s="359">
        <v>0</v>
      </c>
      <c r="P40" s="359">
        <v>0</v>
      </c>
      <c r="Q40" s="359">
        <v>0</v>
      </c>
    </row>
    <row r="41" spans="1:17" ht="18.75" thickBot="1" x14ac:dyDescent="0.3">
      <c r="A41" s="363" t="s">
        <v>44</v>
      </c>
      <c r="B41" s="308"/>
      <c r="C41" s="308"/>
      <c r="D41" s="265" t="s">
        <v>139</v>
      </c>
      <c r="E41" s="359">
        <v>38734</v>
      </c>
      <c r="F41" s="359">
        <v>82586</v>
      </c>
      <c r="G41" s="359">
        <v>25857</v>
      </c>
      <c r="H41" s="359">
        <v>0</v>
      </c>
      <c r="I41" s="359">
        <v>0</v>
      </c>
      <c r="J41" s="359">
        <v>0</v>
      </c>
      <c r="K41" s="359">
        <v>0</v>
      </c>
      <c r="L41" s="359">
        <v>0</v>
      </c>
      <c r="M41" s="359">
        <v>0</v>
      </c>
      <c r="N41" s="359">
        <v>0</v>
      </c>
      <c r="O41" s="359">
        <v>0</v>
      </c>
      <c r="P41" s="359">
        <v>0</v>
      </c>
      <c r="Q41" s="359">
        <v>0</v>
      </c>
    </row>
    <row r="42" spans="1:17" ht="18.75" thickBot="1" x14ac:dyDescent="0.3">
      <c r="A42" s="363" t="s">
        <v>44</v>
      </c>
      <c r="B42" s="308"/>
      <c r="C42" s="308"/>
      <c r="D42" s="238" t="s">
        <v>119</v>
      </c>
      <c r="E42" s="359">
        <v>147078</v>
      </c>
      <c r="F42" s="359">
        <v>188838</v>
      </c>
      <c r="G42" s="359">
        <v>331106</v>
      </c>
      <c r="H42" s="359">
        <v>0</v>
      </c>
      <c r="I42" s="359">
        <v>0</v>
      </c>
      <c r="J42" s="359">
        <v>0</v>
      </c>
      <c r="K42" s="359">
        <v>0</v>
      </c>
      <c r="L42" s="359">
        <v>0</v>
      </c>
      <c r="M42" s="359">
        <v>0</v>
      </c>
      <c r="N42" s="359">
        <v>0</v>
      </c>
      <c r="O42" s="359">
        <v>0</v>
      </c>
      <c r="P42" s="359">
        <v>0</v>
      </c>
      <c r="Q42" s="359">
        <v>0</v>
      </c>
    </row>
    <row r="43" spans="1:17" ht="18.75" thickBot="1" x14ac:dyDescent="0.3">
      <c r="A43" s="363" t="s">
        <v>44</v>
      </c>
      <c r="B43" s="308"/>
      <c r="C43" s="308"/>
      <c r="D43" s="238" t="s">
        <v>210</v>
      </c>
      <c r="E43" s="359">
        <v>170077</v>
      </c>
      <c r="F43" s="359">
        <v>75809</v>
      </c>
      <c r="G43" s="359">
        <v>179197</v>
      </c>
      <c r="H43" s="359">
        <v>0</v>
      </c>
      <c r="I43" s="359">
        <v>0</v>
      </c>
      <c r="J43" s="359">
        <v>0</v>
      </c>
      <c r="K43" s="359">
        <v>0</v>
      </c>
      <c r="L43" s="359">
        <v>0</v>
      </c>
      <c r="M43" s="359">
        <v>0</v>
      </c>
      <c r="N43" s="359">
        <v>0</v>
      </c>
      <c r="O43" s="359">
        <v>0</v>
      </c>
      <c r="P43" s="359">
        <v>0</v>
      </c>
      <c r="Q43" s="359">
        <v>0</v>
      </c>
    </row>
    <row r="44" spans="1:17" ht="18.75" thickBot="1" x14ac:dyDescent="0.3">
      <c r="A44" s="363" t="s">
        <v>44</v>
      </c>
      <c r="B44" s="308"/>
      <c r="C44" s="308"/>
      <c r="D44" s="238" t="s">
        <v>142</v>
      </c>
      <c r="E44" s="359">
        <v>0</v>
      </c>
      <c r="F44" s="359">
        <v>4019676</v>
      </c>
      <c r="G44" s="359">
        <v>4593962</v>
      </c>
      <c r="H44" s="359">
        <v>0</v>
      </c>
      <c r="I44" s="359">
        <v>0</v>
      </c>
      <c r="J44" s="359">
        <v>0</v>
      </c>
      <c r="K44" s="359">
        <v>0</v>
      </c>
      <c r="L44" s="359">
        <v>0</v>
      </c>
      <c r="M44" s="359">
        <v>0</v>
      </c>
      <c r="N44" s="359">
        <v>0</v>
      </c>
      <c r="O44" s="359">
        <v>0</v>
      </c>
      <c r="P44" s="359">
        <v>0</v>
      </c>
      <c r="Q44" s="359">
        <v>0</v>
      </c>
    </row>
    <row r="45" spans="1:17" ht="18.75" thickBot="1" x14ac:dyDescent="0.3">
      <c r="A45" s="308"/>
      <c r="B45" s="308"/>
      <c r="C45" s="308"/>
      <c r="D45" s="259" t="s">
        <v>307</v>
      </c>
      <c r="E45" s="373">
        <f t="shared" ref="E45:P45" si="8">SUM(E37:E44)</f>
        <v>1418972.44</v>
      </c>
      <c r="F45" s="373">
        <f t="shared" si="8"/>
        <v>6502372</v>
      </c>
      <c r="G45" s="373">
        <f t="shared" si="8"/>
        <v>7710587</v>
      </c>
      <c r="H45" s="373">
        <f t="shared" si="8"/>
        <v>9133225</v>
      </c>
      <c r="I45" s="373">
        <f t="shared" si="8"/>
        <v>4622378.1599999983</v>
      </c>
      <c r="J45" s="373">
        <f t="shared" si="8"/>
        <v>3991295</v>
      </c>
      <c r="K45" s="373">
        <f t="shared" si="8"/>
        <v>19158911</v>
      </c>
      <c r="L45" s="373">
        <f t="shared" si="8"/>
        <v>5985919.3600000003</v>
      </c>
      <c r="M45" s="373">
        <f t="shared" si="8"/>
        <v>1763832.52</v>
      </c>
      <c r="N45" s="373">
        <f t="shared" si="8"/>
        <v>4662226.9144040681</v>
      </c>
      <c r="O45" s="373">
        <f t="shared" si="8"/>
        <v>3162226.9144040728</v>
      </c>
      <c r="P45" s="373">
        <f t="shared" si="8"/>
        <v>4162226.9144040728</v>
      </c>
      <c r="Q45" s="373">
        <f t="shared" ref="Q45" si="9">SUM(Q37:Q44)</f>
        <v>4162226.9144040728</v>
      </c>
    </row>
    <row r="46" spans="1:17" ht="20.25" customHeight="1" thickBot="1" x14ac:dyDescent="0.3">
      <c r="A46" s="362"/>
      <c r="B46" s="308"/>
      <c r="C46" s="308"/>
      <c r="D46" s="856" t="s">
        <v>22</v>
      </c>
      <c r="E46" s="856"/>
      <c r="F46" s="856"/>
      <c r="G46" s="856"/>
      <c r="H46" s="856"/>
      <c r="I46" s="856"/>
      <c r="J46" s="856"/>
      <c r="K46" s="856"/>
      <c r="L46" s="856"/>
      <c r="M46" s="856"/>
      <c r="N46" s="856"/>
      <c r="O46" s="856"/>
      <c r="P46" s="856"/>
    </row>
    <row r="47" spans="1:17" ht="18.75" thickBot="1" x14ac:dyDescent="0.3">
      <c r="A47" s="308" t="s">
        <v>46</v>
      </c>
      <c r="B47" s="308"/>
      <c r="C47" s="308"/>
      <c r="D47" s="265" t="s">
        <v>7</v>
      </c>
      <c r="E47" s="359">
        <v>1985104</v>
      </c>
      <c r="F47" s="359">
        <v>957493</v>
      </c>
      <c r="G47" s="359">
        <v>1059874</v>
      </c>
      <c r="H47" s="359">
        <v>555697</v>
      </c>
      <c r="I47" s="359">
        <v>721290.29999999842</v>
      </c>
      <c r="J47" s="359">
        <v>813659.24</v>
      </c>
      <c r="K47" s="359">
        <v>859689.12</v>
      </c>
      <c r="L47" s="359">
        <v>981537</v>
      </c>
      <c r="M47" s="359">
        <f>'ES CT Electric Table A  '!G39</f>
        <v>813385</v>
      </c>
      <c r="N47" s="359">
        <f>'ES CT Electric Table A  '!J39</f>
        <v>902596.994695973</v>
      </c>
      <c r="O47" s="359">
        <f>'ES CT Electric Table A  '!N39</f>
        <v>902596.68469597294</v>
      </c>
      <c r="P47" s="359">
        <f>'ES CT Electric Table A  '!Q39</f>
        <v>902596.994695973</v>
      </c>
      <c r="Q47" s="359">
        <f>'ES CT Electric Table A  '!R39</f>
        <v>902596.994695973</v>
      </c>
    </row>
    <row r="48" spans="1:17" ht="19.5" customHeight="1" thickBot="1" x14ac:dyDescent="0.3">
      <c r="A48" s="366" t="s">
        <v>18</v>
      </c>
      <c r="B48" s="308"/>
      <c r="C48" s="308"/>
      <c r="D48" s="265" t="s">
        <v>134</v>
      </c>
      <c r="E48" s="359">
        <v>41274</v>
      </c>
      <c r="F48" s="359">
        <v>599189</v>
      </c>
      <c r="G48" s="359">
        <v>789065</v>
      </c>
      <c r="H48" s="359">
        <v>771953.18</v>
      </c>
      <c r="I48" s="359">
        <v>373936.85000000021</v>
      </c>
      <c r="J48" s="359">
        <v>139080</v>
      </c>
      <c r="K48" s="359">
        <v>128805.43</v>
      </c>
      <c r="L48" s="359">
        <v>321900</v>
      </c>
      <c r="M48" s="359">
        <f>'ES CT Electric Table A  '!G40</f>
        <v>428192.73</v>
      </c>
      <c r="N48" s="359">
        <f>'ES CT Electric Table A  '!J40</f>
        <v>430380.02805218601</v>
      </c>
      <c r="O48" s="359">
        <f>'ES CT Electric Table A  '!N40</f>
        <v>430380.02805218601</v>
      </c>
      <c r="P48" s="359">
        <f>'ES CT Electric Table A  '!Q40</f>
        <v>430380.02805218601</v>
      </c>
      <c r="Q48" s="359">
        <f>'ES CT Electric Table A  '!R40</f>
        <v>430380.02805218601</v>
      </c>
    </row>
    <row r="49" spans="1:17" ht="18.75" thickBot="1" x14ac:dyDescent="0.3">
      <c r="A49" s="308" t="s">
        <v>46</v>
      </c>
      <c r="B49" s="308"/>
      <c r="C49" s="308"/>
      <c r="D49" s="265" t="s">
        <v>193</v>
      </c>
      <c r="E49" s="359">
        <v>680008</v>
      </c>
      <c r="F49" s="359">
        <v>659032</v>
      </c>
      <c r="G49" s="359">
        <v>670254</v>
      </c>
      <c r="H49" s="359">
        <v>632015</v>
      </c>
      <c r="I49" s="359">
        <v>594212.22999999986</v>
      </c>
      <c r="J49" s="359">
        <v>601069.42000000004</v>
      </c>
      <c r="K49" s="359">
        <v>529884</v>
      </c>
      <c r="L49" s="359">
        <v>549296.34</v>
      </c>
      <c r="M49" s="359">
        <f>'ES CT Electric Table A  '!G41</f>
        <v>734172</v>
      </c>
      <c r="N49" s="359">
        <f>'ES CT Electric Table A  '!J41</f>
        <v>753170</v>
      </c>
      <c r="O49" s="359">
        <f>'ES CT Electric Table A  '!N41</f>
        <v>703170</v>
      </c>
      <c r="P49" s="359">
        <f>'ES CT Electric Table A  '!Q41</f>
        <v>703170</v>
      </c>
      <c r="Q49" s="359">
        <f>'ES CT Electric Table A  '!R41</f>
        <v>703170</v>
      </c>
    </row>
    <row r="50" spans="1:17" ht="18.75" thickBot="1" x14ac:dyDescent="0.3">
      <c r="A50" s="308" t="s">
        <v>46</v>
      </c>
      <c r="B50" s="308"/>
      <c r="C50" s="308"/>
      <c r="D50" s="265" t="s">
        <v>222</v>
      </c>
      <c r="E50" s="359">
        <v>2044455</v>
      </c>
      <c r="F50" s="359">
        <v>1642153</v>
      </c>
      <c r="G50" s="359">
        <v>1764572</v>
      </c>
      <c r="H50" s="359">
        <v>1520745</v>
      </c>
      <c r="I50" s="359">
        <v>1919999.9999999981</v>
      </c>
      <c r="J50" s="359">
        <v>1829414</v>
      </c>
      <c r="K50" s="359">
        <v>1083724</v>
      </c>
      <c r="L50" s="359">
        <v>1920000</v>
      </c>
      <c r="M50" s="359">
        <f>'ES CT Electric Table A  '!G42</f>
        <v>1920000</v>
      </c>
      <c r="N50" s="359">
        <f>'ES CT Electric Table A  '!J42</f>
        <v>2880000</v>
      </c>
      <c r="O50" s="359">
        <f>'ES CT Electric Table A  '!N42</f>
        <v>2880000</v>
      </c>
      <c r="P50" s="359">
        <f>'ES CT Electric Table A  '!Q42</f>
        <v>2880000</v>
      </c>
      <c r="Q50" s="359">
        <f>'ES CT Electric Table A  '!R42</f>
        <v>2880000</v>
      </c>
    </row>
    <row r="51" spans="1:17" ht="18.75" thickBot="1" x14ac:dyDescent="0.3">
      <c r="A51" s="308" t="s">
        <v>46</v>
      </c>
      <c r="B51" s="308"/>
      <c r="C51" s="308"/>
      <c r="D51" s="265" t="s">
        <v>219</v>
      </c>
      <c r="E51" s="359">
        <v>0</v>
      </c>
      <c r="F51" s="359">
        <v>269541</v>
      </c>
      <c r="G51" s="359">
        <v>180399</v>
      </c>
      <c r="H51" s="359">
        <v>199281.12</v>
      </c>
      <c r="I51" s="359">
        <v>177694.38999999996</v>
      </c>
      <c r="J51" s="359">
        <v>176199</v>
      </c>
      <c r="K51" s="359">
        <v>213391</v>
      </c>
      <c r="L51" s="359">
        <v>227298.42</v>
      </c>
      <c r="M51" s="359">
        <f>'ES CT Electric Table A  '!G43</f>
        <v>256933</v>
      </c>
      <c r="N51" s="359">
        <f>'ES CT Electric Table A  '!J43</f>
        <v>284232</v>
      </c>
      <c r="O51" s="359">
        <f>'ES CT Electric Table A  '!N43</f>
        <v>284232</v>
      </c>
      <c r="P51" s="359">
        <f>'ES CT Electric Table A  '!Q43</f>
        <v>284232</v>
      </c>
      <c r="Q51" s="359">
        <f>'ES CT Electric Table A  '!R43</f>
        <v>284232</v>
      </c>
    </row>
    <row r="52" spans="1:17" ht="18.75" thickBot="1" x14ac:dyDescent="0.3">
      <c r="A52" s="308" t="s">
        <v>46</v>
      </c>
      <c r="B52" s="308"/>
      <c r="C52" s="308"/>
      <c r="D52" s="265" t="s">
        <v>8</v>
      </c>
      <c r="E52" s="359">
        <v>1934732.37</v>
      </c>
      <c r="F52" s="359">
        <v>807911</v>
      </c>
      <c r="G52" s="359">
        <v>1037433</v>
      </c>
      <c r="H52" s="359">
        <v>1579383</v>
      </c>
      <c r="I52" s="359">
        <v>541146.3000000004</v>
      </c>
      <c r="J52" s="359">
        <v>1147062</v>
      </c>
      <c r="K52" s="359">
        <v>1070604</v>
      </c>
      <c r="L52" s="359">
        <v>1019170.2</v>
      </c>
      <c r="M52" s="359">
        <f>'ES CT Electric Table A  '!G44</f>
        <v>1606701</v>
      </c>
      <c r="N52" s="359">
        <f>'ES CT Electric Table A  '!J44</f>
        <v>1839096.9931665</v>
      </c>
      <c r="O52" s="359">
        <f>'ES CT Electric Table A  '!N44</f>
        <v>1839096.9931665</v>
      </c>
      <c r="P52" s="359">
        <f>'ES CT Electric Table A  '!Q44</f>
        <v>1839096.9931665</v>
      </c>
      <c r="Q52" s="359">
        <f>'ES CT Electric Table A  '!R44</f>
        <v>1839096.9931665</v>
      </c>
    </row>
    <row r="53" spans="1:17" ht="18.75" thickBot="1" x14ac:dyDescent="0.3">
      <c r="A53" s="308" t="s">
        <v>46</v>
      </c>
      <c r="B53" s="308"/>
      <c r="C53" s="308"/>
      <c r="D53" s="265" t="s">
        <v>220</v>
      </c>
      <c r="E53" s="359">
        <v>475046.09</v>
      </c>
      <c r="F53" s="359">
        <v>401216</v>
      </c>
      <c r="G53" s="359">
        <v>410204</v>
      </c>
      <c r="H53" s="359">
        <v>366781.13</v>
      </c>
      <c r="I53" s="359">
        <v>314264.22000000003</v>
      </c>
      <c r="J53" s="359">
        <v>306176</v>
      </c>
      <c r="K53" s="359">
        <v>318423</v>
      </c>
      <c r="L53" s="359">
        <v>380641</v>
      </c>
      <c r="M53" s="359">
        <f>'ES CT Electric Table A  '!G45</f>
        <v>394346</v>
      </c>
      <c r="N53" s="359">
        <f>'ES CT Electric Table A  '!J45</f>
        <v>512001</v>
      </c>
      <c r="O53" s="359">
        <f>'ES CT Electric Table A  '!N45</f>
        <v>512001</v>
      </c>
      <c r="P53" s="359">
        <f>'ES CT Electric Table A  '!Q45</f>
        <v>512001</v>
      </c>
      <c r="Q53" s="359">
        <f>'ES CT Electric Table A  '!R45</f>
        <v>512001</v>
      </c>
    </row>
    <row r="54" spans="1:17" ht="18.75" thickBot="1" x14ac:dyDescent="0.3">
      <c r="A54" s="308" t="s">
        <v>46</v>
      </c>
      <c r="B54" s="308"/>
      <c r="C54" s="308"/>
      <c r="D54" s="265" t="s">
        <v>223</v>
      </c>
      <c r="E54" s="359">
        <v>0</v>
      </c>
      <c r="F54" s="359">
        <v>0</v>
      </c>
      <c r="G54" s="359">
        <v>0</v>
      </c>
      <c r="H54" s="359">
        <v>0</v>
      </c>
      <c r="I54" s="359">
        <v>42483</v>
      </c>
      <c r="J54" s="359">
        <v>60000</v>
      </c>
      <c r="K54" s="359">
        <v>60000</v>
      </c>
      <c r="L54" s="359">
        <v>60000</v>
      </c>
      <c r="M54" s="359">
        <f>'ES CT Electric Table A  '!G46</f>
        <v>60000</v>
      </c>
      <c r="N54" s="359">
        <f>'ES CT Electric Table A  '!J46</f>
        <v>60000</v>
      </c>
      <c r="O54" s="359">
        <f>'ES CT Electric Table A  '!N46</f>
        <v>60000</v>
      </c>
      <c r="P54" s="359">
        <f>'ES CT Electric Table A  '!Q46</f>
        <v>60000</v>
      </c>
      <c r="Q54" s="359">
        <f>'ES CT Electric Table A  '!R46</f>
        <v>60000</v>
      </c>
    </row>
    <row r="55" spans="1:17" s="287" customFormat="1" ht="21" customHeight="1" thickBot="1" x14ac:dyDescent="0.3">
      <c r="A55" s="308" t="s">
        <v>46</v>
      </c>
      <c r="B55" s="308"/>
      <c r="C55" s="308"/>
      <c r="D55" s="265" t="s">
        <v>221</v>
      </c>
      <c r="E55" s="359">
        <v>6728101</v>
      </c>
      <c r="F55" s="359">
        <v>7560041</v>
      </c>
      <c r="G55" s="359">
        <v>8197955</v>
      </c>
      <c r="H55" s="359">
        <v>9010198</v>
      </c>
      <c r="I55" s="359">
        <v>8111330</v>
      </c>
      <c r="J55" s="359">
        <v>6953613</v>
      </c>
      <c r="K55" s="359">
        <v>8751797</v>
      </c>
      <c r="L55" s="359">
        <v>7770609</v>
      </c>
      <c r="M55" s="359">
        <f>'ES CT Electric Table A  '!G47</f>
        <v>8681482</v>
      </c>
      <c r="N55" s="359">
        <f>'ES CT Electric Table A  '!J47</f>
        <v>7813074</v>
      </c>
      <c r="O55" s="359">
        <f>'ES CT Electric Table A  '!N47</f>
        <v>6849349.3876250004</v>
      </c>
      <c r="P55" s="359">
        <f>'ES CT Electric Table A  '!Q47</f>
        <v>6935064.1394624999</v>
      </c>
      <c r="Q55" s="359">
        <f>'ES CT Electric Table A  '!R47</f>
        <v>6918454.2825812511</v>
      </c>
    </row>
    <row r="56" spans="1:17" ht="18.75" thickBot="1" x14ac:dyDescent="0.3">
      <c r="A56" s="362"/>
      <c r="B56" s="308"/>
      <c r="C56" s="308"/>
      <c r="D56" s="259" t="s">
        <v>23</v>
      </c>
      <c r="E56" s="373">
        <f t="shared" ref="E56:J56" si="10">SUM(E47:E55)</f>
        <v>13888720.460000001</v>
      </c>
      <c r="F56" s="373">
        <f t="shared" si="10"/>
        <v>12896576</v>
      </c>
      <c r="G56" s="373">
        <f t="shared" si="10"/>
        <v>14109756</v>
      </c>
      <c r="H56" s="373">
        <f t="shared" si="10"/>
        <v>14636053.43</v>
      </c>
      <c r="I56" s="373">
        <f t="shared" si="10"/>
        <v>12796357.289999997</v>
      </c>
      <c r="J56" s="373">
        <f t="shared" si="10"/>
        <v>12026272.66</v>
      </c>
      <c r="K56" s="373">
        <f t="shared" ref="K56:P56" si="11">SUM(K47:K55)</f>
        <v>13016317.550000001</v>
      </c>
      <c r="L56" s="373">
        <f t="shared" si="11"/>
        <v>13230451.960000001</v>
      </c>
      <c r="M56" s="373">
        <f t="shared" si="11"/>
        <v>14895211.73</v>
      </c>
      <c r="N56" s="373">
        <f t="shared" si="11"/>
        <v>15474551.01591466</v>
      </c>
      <c r="O56" s="373">
        <f t="shared" si="11"/>
        <v>14460826.093539659</v>
      </c>
      <c r="P56" s="373">
        <f t="shared" si="11"/>
        <v>14546541.155377159</v>
      </c>
      <c r="Q56" s="373">
        <f t="shared" ref="Q56" si="12">SUM(Q47:Q55)</f>
        <v>14529931.298495911</v>
      </c>
    </row>
    <row r="57" spans="1:17" ht="18.75" hidden="1" thickBot="1" x14ac:dyDescent="0.3">
      <c r="A57" s="362"/>
      <c r="B57" s="308"/>
      <c r="C57" s="308"/>
      <c r="D57" s="259" t="s">
        <v>24</v>
      </c>
      <c r="E57" s="375"/>
      <c r="F57" s="375"/>
      <c r="G57" s="375"/>
      <c r="H57" s="375"/>
      <c r="I57" s="375"/>
      <c r="J57" s="375"/>
      <c r="K57" s="375"/>
      <c r="L57" s="375"/>
      <c r="M57" s="375"/>
      <c r="N57" s="375"/>
      <c r="O57" s="375"/>
      <c r="P57" s="375"/>
      <c r="Q57" s="375"/>
    </row>
    <row r="58" spans="1:17" s="269" customFormat="1" ht="18.75" hidden="1" thickBot="1" x14ac:dyDescent="0.3">
      <c r="A58" s="367"/>
      <c r="B58" s="368"/>
      <c r="C58" s="368"/>
      <c r="D58" s="376" t="s">
        <v>25</v>
      </c>
      <c r="E58" s="377">
        <f>SUM(E8,E9,E10,E12,E31*0.8,E33,E34*0.8,E32*0.8,E37,E48*0.8)</f>
        <v>35411115.600000001</v>
      </c>
      <c r="F58" s="377">
        <f>SUM(F8,F9,F10,F12,F13,F31*0.8,F33,F34*0.8,F30*0.8,F32*0.8,F37,F48*0.8)</f>
        <v>61190628.800000004</v>
      </c>
      <c r="G58" s="377">
        <f>SUM(G8,G9,G10,G12,G13,G31*0.8,G33,G34*0.8,G30*0.8,G32*0.8,G37,G48*0.8)</f>
        <v>61296223.600000001</v>
      </c>
      <c r="H58" s="377">
        <f t="shared" ref="H58:P58" si="13">H14+H29*0.5+H30*0.8+H27*0.8+H28*0.5+H37+H48*0.8+H23</f>
        <v>67174274.744000003</v>
      </c>
      <c r="I58" s="377">
        <f t="shared" si="13"/>
        <v>56429464.402000017</v>
      </c>
      <c r="J58" s="377">
        <f t="shared" si="13"/>
        <v>38319616.109999999</v>
      </c>
      <c r="K58" s="377">
        <f t="shared" si="13"/>
        <v>51727344.236000001</v>
      </c>
      <c r="L58" s="377">
        <f t="shared" si="13"/>
        <v>64479137.102000006</v>
      </c>
      <c r="M58" s="377">
        <f t="shared" si="13"/>
        <v>82635319.318000004</v>
      </c>
      <c r="N58" s="377">
        <f t="shared" si="13"/>
        <v>74018099.7775172</v>
      </c>
      <c r="O58" s="377">
        <f t="shared" si="13"/>
        <v>64782624.777517207</v>
      </c>
      <c r="P58" s="377">
        <f t="shared" si="13"/>
        <v>65245274.777517207</v>
      </c>
      <c r="Q58" s="377">
        <f t="shared" ref="Q58" si="14">Q14+Q29*0.5+Q30*0.8+Q27*0.8+Q28*0.5+Q37+Q48*0.8+Q23</f>
        <v>65064454.777517207</v>
      </c>
    </row>
    <row r="59" spans="1:17" s="269" customFormat="1" ht="18.75" hidden="1" thickBot="1" x14ac:dyDescent="0.3">
      <c r="A59" s="367"/>
      <c r="B59" s="368"/>
      <c r="C59" s="368"/>
      <c r="D59" s="376" t="s">
        <v>26</v>
      </c>
      <c r="E59" s="377">
        <f>SUM(E16,E17,E18,E19,E31*0.2,E32*0.2,E34*0.2,E41,E42,E43,E22,E48*0.2)</f>
        <v>51052490.069999993</v>
      </c>
      <c r="F59" s="377">
        <f>SUM(F16,F17,F18,F19,F31*0.2,F32*0.2,F34*0.2,F30*0.2,F41,F42,F44,F43,F22,F48*0.2)</f>
        <v>70935856.969999984</v>
      </c>
      <c r="G59" s="377">
        <f>SUM(G16,G17,G18,G19,G31*0.2,G32*0.2,G34*0.2,G30*0.2,G41,G42,G44,G43,G22,G48*0.2)</f>
        <v>72931056.400000006</v>
      </c>
      <c r="H59" s="377">
        <f t="shared" ref="H59:P59" si="15">H20+H29*0.5+H30*0.2+H27*0.2+H28*0.5+H42+H44+H43+H38+H22+H48*0.2+H24</f>
        <v>83664373.566000015</v>
      </c>
      <c r="I59" s="377">
        <f t="shared" si="15"/>
        <v>58100027.748000033</v>
      </c>
      <c r="J59" s="377">
        <f t="shared" si="15"/>
        <v>55679335.609999999</v>
      </c>
      <c r="K59" s="377">
        <f t="shared" si="15"/>
        <v>77541108.854000002</v>
      </c>
      <c r="L59" s="377">
        <f t="shared" si="15"/>
        <v>70138921.367999986</v>
      </c>
      <c r="M59" s="377">
        <f t="shared" si="15"/>
        <v>65716981.031999998</v>
      </c>
      <c r="N59" s="377">
        <f t="shared" si="15"/>
        <v>75706282.684365869</v>
      </c>
      <c r="O59" s="377">
        <f t="shared" si="15"/>
        <v>65717267.684365869</v>
      </c>
      <c r="P59" s="377">
        <f t="shared" si="15"/>
        <v>66968917.684365876</v>
      </c>
      <c r="Q59" s="377">
        <f t="shared" ref="Q59" si="16">Q20+Q29*0.5+Q30*0.2+Q27*0.2+Q28*0.5+Q42+Q44+Q43+Q38+Q22+Q48*0.2+Q24</f>
        <v>66817540.58436586</v>
      </c>
    </row>
    <row r="60" spans="1:17" s="269" customFormat="1" ht="18.75" hidden="1" thickBot="1" x14ac:dyDescent="0.3">
      <c r="A60" s="362"/>
      <c r="B60" s="308"/>
      <c r="C60" s="308"/>
      <c r="D60" s="376" t="s">
        <v>161</v>
      </c>
      <c r="E60" s="378">
        <f>SUM(E40,E39,E47,E49,E50,E52,E53,E55)</f>
        <v>14493664.899999999</v>
      </c>
      <c r="F60" s="378">
        <f>F40+F39+F47+F49+F50+F51+F52+F53+F55</f>
        <v>12923104</v>
      </c>
      <c r="G60" s="378">
        <f>G40+G39+G47+G49+G50+G51+G52+G53+G55</f>
        <v>13894826</v>
      </c>
      <c r="H60" s="378">
        <f t="shared" ref="H60:P60" si="17">H40+H39+H47+H49+H50+H51+H52+H53+H54+H55</f>
        <v>14072862.25</v>
      </c>
      <c r="I60" s="378">
        <f t="shared" si="17"/>
        <v>12506666.819999997</v>
      </c>
      <c r="J60" s="378">
        <f t="shared" si="17"/>
        <v>12168824.66</v>
      </c>
      <c r="K60" s="378">
        <f t="shared" si="17"/>
        <v>12976648.120000001</v>
      </c>
      <c r="L60" s="378">
        <f t="shared" si="17"/>
        <v>13044579.399999999</v>
      </c>
      <c r="M60" s="378">
        <f t="shared" si="17"/>
        <v>14518852</v>
      </c>
      <c r="N60" s="378">
        <f t="shared" si="17"/>
        <v>15206397.847191092</v>
      </c>
      <c r="O60" s="378">
        <f t="shared" si="17"/>
        <v>14192672.924816091</v>
      </c>
      <c r="P60" s="378">
        <f t="shared" si="17"/>
        <v>14278387.986653591</v>
      </c>
      <c r="Q60" s="378">
        <f t="shared" ref="Q60" si="18">Q40+Q39+Q47+Q49+Q50+Q51+Q52+Q53+Q54+Q55</f>
        <v>14261778.129772343</v>
      </c>
    </row>
    <row r="61" spans="1:17" s="269" customFormat="1" ht="21.75" customHeight="1" thickBot="1" x14ac:dyDescent="0.3">
      <c r="A61" s="362"/>
      <c r="B61" s="308"/>
      <c r="C61" s="308"/>
      <c r="D61" s="376" t="s">
        <v>124</v>
      </c>
      <c r="E61" s="373">
        <f t="shared" ref="E61:P61" si="19">SUM(E58:E60)</f>
        <v>100957270.56999999</v>
      </c>
      <c r="F61" s="373">
        <f t="shared" si="19"/>
        <v>145049589.76999998</v>
      </c>
      <c r="G61" s="373">
        <f t="shared" si="19"/>
        <v>148122106</v>
      </c>
      <c r="H61" s="373">
        <f t="shared" si="19"/>
        <v>164911510.56</v>
      </c>
      <c r="I61" s="373">
        <f t="shared" si="19"/>
        <v>127036158.97000004</v>
      </c>
      <c r="J61" s="373">
        <f t="shared" si="19"/>
        <v>106167776.38</v>
      </c>
      <c r="K61" s="373">
        <f t="shared" si="19"/>
        <v>142245101.21000001</v>
      </c>
      <c r="L61" s="373">
        <f t="shared" si="19"/>
        <v>147662637.87</v>
      </c>
      <c r="M61" s="373">
        <f t="shared" si="19"/>
        <v>162871152.34999999</v>
      </c>
      <c r="N61" s="373">
        <f t="shared" si="19"/>
        <v>164930780.30907416</v>
      </c>
      <c r="O61" s="373">
        <f t="shared" ref="O61" si="20">SUM(O58:O60)</f>
        <v>144692565.38669917</v>
      </c>
      <c r="P61" s="373">
        <f t="shared" si="19"/>
        <v>146492580.44853666</v>
      </c>
      <c r="Q61" s="373">
        <f t="shared" ref="Q61" si="21">SUM(Q58:Q60)</f>
        <v>146143773.49165541</v>
      </c>
    </row>
    <row r="62" spans="1:17" s="269" customFormat="1" ht="21" customHeight="1" thickBot="1" x14ac:dyDescent="0.3">
      <c r="A62" s="362"/>
      <c r="B62" s="308"/>
      <c r="C62" s="308"/>
      <c r="D62" s="376" t="s">
        <v>99</v>
      </c>
      <c r="E62" s="373">
        <f t="shared" ref="E62:P62" si="22">E61-E22</f>
        <v>96828854.169999987</v>
      </c>
      <c r="F62" s="373">
        <f t="shared" si="22"/>
        <v>141417298.76999998</v>
      </c>
      <c r="G62" s="373">
        <f t="shared" si="22"/>
        <v>145547870</v>
      </c>
      <c r="H62" s="373">
        <f t="shared" si="22"/>
        <v>162497083.56</v>
      </c>
      <c r="I62" s="373">
        <f t="shared" si="22"/>
        <v>124648808.38000004</v>
      </c>
      <c r="J62" s="373">
        <f t="shared" si="22"/>
        <v>104937481.28</v>
      </c>
      <c r="K62" s="373">
        <f t="shared" si="22"/>
        <v>142245101.21000001</v>
      </c>
      <c r="L62" s="373">
        <f t="shared" si="22"/>
        <v>147662637.87</v>
      </c>
      <c r="M62" s="373">
        <f t="shared" si="22"/>
        <v>162871152.34999999</v>
      </c>
      <c r="N62" s="373">
        <f t="shared" si="22"/>
        <v>164930780.30907416</v>
      </c>
      <c r="O62" s="373">
        <f t="shared" si="22"/>
        <v>144692565.38669917</v>
      </c>
      <c r="P62" s="373">
        <f t="shared" si="22"/>
        <v>146492580.44853666</v>
      </c>
      <c r="Q62" s="373">
        <f t="shared" ref="Q62" si="23">Q61-Q22</f>
        <v>146143773.49165541</v>
      </c>
    </row>
    <row r="63" spans="1:17" ht="7.5" customHeight="1" x14ac:dyDescent="0.25">
      <c r="A63" s="295"/>
      <c r="B63" s="295"/>
      <c r="C63" s="295"/>
    </row>
    <row r="64" spans="1:17" x14ac:dyDescent="0.25">
      <c r="A64" s="295"/>
      <c r="B64" s="295"/>
      <c r="C64" s="295"/>
      <c r="D64" s="369"/>
      <c r="L64" s="261" t="s">
        <v>13</v>
      </c>
    </row>
    <row r="65" spans="1:4" x14ac:dyDescent="0.25">
      <c r="A65" s="295"/>
      <c r="B65" s="295"/>
      <c r="C65" s="295"/>
      <c r="D65" s="357"/>
    </row>
    <row r="66" spans="1:4" x14ac:dyDescent="0.25">
      <c r="A66" s="295"/>
      <c r="B66" s="295"/>
      <c r="C66" s="295"/>
      <c r="D66" s="357"/>
    </row>
    <row r="67" spans="1:4" x14ac:dyDescent="0.25">
      <c r="A67" s="295"/>
      <c r="B67" s="295"/>
      <c r="C67" s="295"/>
      <c r="D67" s="357"/>
    </row>
    <row r="68" spans="1:4" x14ac:dyDescent="0.25">
      <c r="A68" s="295"/>
      <c r="B68" s="295"/>
      <c r="C68" s="295"/>
      <c r="D68" s="357"/>
    </row>
    <row r="69" spans="1:4" x14ac:dyDescent="0.25">
      <c r="A69" s="295"/>
      <c r="B69" s="295"/>
      <c r="C69" s="295"/>
      <c r="D69" s="357"/>
    </row>
    <row r="70" spans="1:4" x14ac:dyDescent="0.25">
      <c r="A70" s="295"/>
      <c r="B70" s="295"/>
      <c r="C70" s="295"/>
      <c r="D70" s="357"/>
    </row>
    <row r="71" spans="1:4" x14ac:dyDescent="0.25">
      <c r="A71" s="295"/>
      <c r="B71" s="295"/>
      <c r="C71" s="295"/>
      <c r="D71" s="357"/>
    </row>
    <row r="72" spans="1:4" x14ac:dyDescent="0.25">
      <c r="A72" s="295"/>
      <c r="B72" s="295"/>
      <c r="C72" s="295"/>
      <c r="D72" s="357"/>
    </row>
    <row r="73" spans="1:4" x14ac:dyDescent="0.25">
      <c r="A73" s="295"/>
      <c r="B73" s="295"/>
      <c r="C73" s="295"/>
      <c r="D73" s="357"/>
    </row>
    <row r="74" spans="1:4" x14ac:dyDescent="0.25">
      <c r="A74" s="370"/>
      <c r="B74" s="370"/>
      <c r="C74" s="370"/>
    </row>
    <row r="75" spans="1:4" x14ac:dyDescent="0.25">
      <c r="A75" s="370"/>
      <c r="B75" s="370"/>
      <c r="C75" s="370"/>
      <c r="D75" s="287"/>
    </row>
    <row r="76" spans="1:4" x14ac:dyDescent="0.25">
      <c r="A76" s="370"/>
      <c r="B76" s="370"/>
      <c r="C76" s="370"/>
      <c r="D76" s="287"/>
    </row>
  </sheetData>
  <mergeCells count="8">
    <mergeCell ref="D36:P36"/>
    <mergeCell ref="D21:P21"/>
    <mergeCell ref="D46:P46"/>
    <mergeCell ref="D2:P2"/>
    <mergeCell ref="D3:P3"/>
    <mergeCell ref="D7:P7"/>
    <mergeCell ref="D26:P26"/>
    <mergeCell ref="D15:P15"/>
  </mergeCells>
  <phoneticPr fontId="11" type="noConversion"/>
  <printOptions horizontalCentered="1"/>
  <pageMargins left="0.5" right="0.5" top="0.75" bottom="0.75" header="0.5" footer="0.25"/>
  <pageSetup scale="38" orientation="landscape"/>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theme="9" tint="0.39997558519241921"/>
    <pageSetUpPr fitToPage="1"/>
  </sheetPr>
  <dimension ref="A1:P44"/>
  <sheetViews>
    <sheetView showGridLines="0" topLeftCell="C1" zoomScale="70" zoomScaleNormal="70" zoomScaleSheetLayoutView="70" workbookViewId="0">
      <pane xSplit="2" topLeftCell="E1" activePane="topRight" state="frozen"/>
      <selection activeCell="C4" sqref="C4"/>
      <selection pane="topRight" activeCell="E1" sqref="E1:E1048576"/>
    </sheetView>
  </sheetViews>
  <sheetFormatPr defaultRowHeight="12.75" x14ac:dyDescent="0.2"/>
  <cols>
    <col min="1" max="1" width="4" hidden="1" customWidth="1"/>
    <col min="2" max="2" width="3.140625" hidden="1" customWidth="1"/>
    <col min="3" max="3" width="3.140625" customWidth="1"/>
    <col min="4" max="4" width="61.85546875" customWidth="1"/>
    <col min="5" max="5" width="14" hidden="1" customWidth="1"/>
    <col min="6" max="16" width="14" customWidth="1"/>
  </cols>
  <sheetData>
    <row r="1" spans="1:16" x14ac:dyDescent="0.2">
      <c r="E1" s="4"/>
      <c r="F1" s="4"/>
      <c r="G1" s="4"/>
      <c r="H1" s="4"/>
      <c r="I1" s="4"/>
      <c r="J1" s="4"/>
      <c r="K1" s="4"/>
      <c r="L1" s="4"/>
      <c r="M1" s="4"/>
      <c r="N1" s="4"/>
      <c r="O1" s="4"/>
      <c r="P1" s="4"/>
    </row>
    <row r="2" spans="1:16" ht="21" customHeight="1" x14ac:dyDescent="0.35">
      <c r="A2" s="4"/>
      <c r="B2" s="4"/>
      <c r="C2" s="4"/>
      <c r="D2" s="869" t="s">
        <v>148</v>
      </c>
      <c r="E2" s="869"/>
      <c r="F2" s="869"/>
      <c r="G2" s="869"/>
      <c r="H2" s="869"/>
      <c r="I2" s="869"/>
      <c r="J2" s="869"/>
      <c r="K2" s="869"/>
      <c r="L2" s="869"/>
      <c r="M2" s="869"/>
      <c r="N2" s="955"/>
      <c r="O2" s="955"/>
      <c r="P2" s="955"/>
    </row>
    <row r="3" spans="1:16" ht="24" customHeight="1" x14ac:dyDescent="0.35">
      <c r="A3" s="4"/>
      <c r="B3" s="23"/>
      <c r="C3" s="23"/>
      <c r="D3" s="950" t="s">
        <v>178</v>
      </c>
      <c r="E3" s="950"/>
      <c r="F3" s="950"/>
      <c r="G3" s="950"/>
      <c r="H3" s="950"/>
      <c r="I3" s="950"/>
      <c r="J3" s="950"/>
      <c r="K3" s="950"/>
      <c r="L3" s="950"/>
      <c r="M3" s="950"/>
      <c r="N3" s="955"/>
      <c r="O3" s="955"/>
      <c r="P3" s="955"/>
    </row>
    <row r="4" spans="1:16" ht="24" customHeight="1" thickBot="1" x14ac:dyDescent="0.3">
      <c r="A4" s="4"/>
      <c r="D4" s="358"/>
      <c r="E4" s="41"/>
      <c r="F4" s="41"/>
      <c r="G4" s="41"/>
      <c r="H4" s="41"/>
      <c r="I4" s="41"/>
      <c r="J4" s="41"/>
      <c r="K4" s="41"/>
      <c r="L4" s="41"/>
      <c r="M4" s="41"/>
      <c r="N4" s="953"/>
      <c r="O4" s="954"/>
      <c r="P4" s="954"/>
    </row>
    <row r="5" spans="1:16" ht="28.5" customHeight="1" x14ac:dyDescent="0.25">
      <c r="A5" s="4"/>
      <c r="B5" s="23"/>
      <c r="C5" s="23"/>
      <c r="D5" s="250"/>
      <c r="E5" s="250">
        <v>2013</v>
      </c>
      <c r="F5" s="250">
        <v>2014</v>
      </c>
      <c r="G5" s="250">
        <v>2015</v>
      </c>
      <c r="H5" s="250">
        <v>2016</v>
      </c>
      <c r="I5" s="250">
        <v>2017</v>
      </c>
      <c r="J5" s="250">
        <v>2018</v>
      </c>
      <c r="K5" s="250">
        <v>2019</v>
      </c>
      <c r="L5" s="250">
        <v>2020</v>
      </c>
      <c r="M5" s="250">
        <v>2021</v>
      </c>
      <c r="N5" s="250">
        <v>2022</v>
      </c>
      <c r="O5" s="250">
        <v>2023</v>
      </c>
      <c r="P5" s="250">
        <v>2024</v>
      </c>
    </row>
    <row r="6" spans="1:16" ht="27" customHeight="1" thickBot="1" x14ac:dyDescent="0.3">
      <c r="A6" s="15"/>
      <c r="B6" s="15"/>
      <c r="C6" s="15"/>
      <c r="D6" s="390"/>
      <c r="E6" s="391" t="s">
        <v>98</v>
      </c>
      <c r="F6" s="391" t="s">
        <v>98</v>
      </c>
      <c r="G6" s="391" t="s">
        <v>98</v>
      </c>
      <c r="H6" s="391" t="s">
        <v>98</v>
      </c>
      <c r="I6" s="391" t="s">
        <v>98</v>
      </c>
      <c r="J6" s="391" t="s">
        <v>98</v>
      </c>
      <c r="K6" s="391" t="s">
        <v>98</v>
      </c>
      <c r="L6" s="391" t="s">
        <v>98</v>
      </c>
      <c r="M6" s="391" t="s">
        <v>98</v>
      </c>
      <c r="N6" s="391" t="s">
        <v>269</v>
      </c>
      <c r="O6" s="391" t="s">
        <v>269</v>
      </c>
      <c r="P6" s="391" t="s">
        <v>269</v>
      </c>
    </row>
    <row r="7" spans="1:16" ht="23.25" customHeight="1" thickBot="1" x14ac:dyDescent="0.3">
      <c r="A7" s="15"/>
      <c r="B7" s="15"/>
      <c r="C7" s="15"/>
      <c r="D7" s="857" t="s">
        <v>15</v>
      </c>
      <c r="E7" s="857"/>
      <c r="F7" s="857"/>
      <c r="G7" s="857"/>
      <c r="H7" s="857"/>
      <c r="I7" s="857"/>
      <c r="J7" s="857"/>
      <c r="K7" s="857"/>
      <c r="L7" s="857"/>
      <c r="M7" s="857"/>
      <c r="N7" s="952"/>
      <c r="O7" s="952"/>
      <c r="P7" s="952"/>
    </row>
    <row r="8" spans="1:16" s="7" customFormat="1" ht="18.75" thickBot="1" x14ac:dyDescent="0.3">
      <c r="A8" s="24" t="s">
        <v>43</v>
      </c>
      <c r="B8" s="25"/>
      <c r="C8" s="25"/>
      <c r="D8" s="238" t="s">
        <v>162</v>
      </c>
      <c r="E8" s="385">
        <v>5600.03</v>
      </c>
      <c r="F8" s="385">
        <v>5709.51</v>
      </c>
      <c r="G8" s="385">
        <v>7947</v>
      </c>
      <c r="H8" s="385">
        <v>10155.299999999999</v>
      </c>
      <c r="I8" s="385">
        <v>9557.43</v>
      </c>
      <c r="J8" s="385">
        <v>3433</v>
      </c>
      <c r="K8" s="385">
        <v>4580</v>
      </c>
      <c r="L8" s="385">
        <v>4965.6499999999996</v>
      </c>
      <c r="M8" s="385">
        <v>5403.777</v>
      </c>
      <c r="N8" s="385">
        <f>'[18]Eversource Elect_Table_B'!$O7</f>
        <v>1461.7628930741066</v>
      </c>
      <c r="O8" s="385">
        <f>'[18]Eversource Elect_Table_B'!$O34</f>
        <v>788.91533982283033</v>
      </c>
      <c r="P8" s="385">
        <f>'[18]Eversource Elect_Table_B'!$O61</f>
        <v>651.66487629281016</v>
      </c>
    </row>
    <row r="9" spans="1:16" s="1" customFormat="1" ht="18.75" thickBot="1" x14ac:dyDescent="0.3">
      <c r="A9" s="24" t="s">
        <v>43</v>
      </c>
      <c r="B9" s="25"/>
      <c r="C9" s="25"/>
      <c r="D9" s="243" t="s">
        <v>158</v>
      </c>
      <c r="E9" s="385">
        <v>561.73</v>
      </c>
      <c r="F9" s="385">
        <v>976.87</v>
      </c>
      <c r="G9" s="385">
        <v>927.89</v>
      </c>
      <c r="H9" s="385">
        <v>903.32</v>
      </c>
      <c r="I9" s="385">
        <v>1251.99</v>
      </c>
      <c r="J9" s="385">
        <v>903</v>
      </c>
      <c r="K9" s="385">
        <v>1346</v>
      </c>
      <c r="L9" s="385">
        <v>1103.037</v>
      </c>
      <c r="M9" s="385">
        <v>784.36800000000005</v>
      </c>
      <c r="N9" s="385">
        <f>'[18]Eversource Elect_Table_B'!$O8</f>
        <v>545.33392289502149</v>
      </c>
      <c r="O9" s="385">
        <f>'[18]Eversource Elect_Table_B'!$O35</f>
        <v>394.49135229343926</v>
      </c>
      <c r="P9" s="385">
        <f>'[18]Eversource Elect_Table_B'!$O62</f>
        <v>304.73811841967159</v>
      </c>
    </row>
    <row r="10" spans="1:16" s="1" customFormat="1" ht="54.75" thickBot="1" x14ac:dyDescent="0.3">
      <c r="A10" s="24" t="s">
        <v>43</v>
      </c>
      <c r="B10" s="25"/>
      <c r="C10" s="25"/>
      <c r="D10" s="279" t="s">
        <v>419</v>
      </c>
      <c r="E10" s="385">
        <v>2851.5</v>
      </c>
      <c r="F10" s="385">
        <v>4061</v>
      </c>
      <c r="G10" s="385">
        <v>3519</v>
      </c>
      <c r="H10" s="385">
        <v>2404.42</v>
      </c>
      <c r="I10" s="385">
        <v>2939.71</v>
      </c>
      <c r="J10" s="385">
        <v>2305</v>
      </c>
      <c r="K10" s="385">
        <v>3017.49</v>
      </c>
      <c r="L10" s="385">
        <v>2025</v>
      </c>
      <c r="M10" s="385">
        <v>2896.8960000000002</v>
      </c>
      <c r="N10" s="385">
        <f>'[18]Eversource Elect_Table_B'!$O9</f>
        <v>1773.3513745456521</v>
      </c>
      <c r="O10" s="385">
        <f>'[18]Eversource Elect_Table_B'!$O36</f>
        <v>1204.9494104799571</v>
      </c>
      <c r="P10" s="385">
        <f>'[18]Eversource Elect_Table_B'!$O63</f>
        <v>1263.294449006577</v>
      </c>
    </row>
    <row r="11" spans="1:16" s="1" customFormat="1" ht="18.75" thickBot="1" x14ac:dyDescent="0.3">
      <c r="A11" s="24"/>
      <c r="B11" s="25"/>
      <c r="C11" s="25"/>
      <c r="D11" s="279" t="s">
        <v>520</v>
      </c>
      <c r="E11" s="385">
        <v>0</v>
      </c>
      <c r="F11" s="385">
        <v>0</v>
      </c>
      <c r="G11" s="385">
        <v>0</v>
      </c>
      <c r="H11" s="385">
        <v>673.12</v>
      </c>
      <c r="I11" s="385">
        <v>805.14</v>
      </c>
      <c r="J11" s="385">
        <v>750</v>
      </c>
      <c r="K11" s="385">
        <v>1020</v>
      </c>
      <c r="L11" s="385">
        <v>1159.6199999999999</v>
      </c>
      <c r="M11" s="385">
        <v>988.38499999999999</v>
      </c>
      <c r="N11" s="385">
        <f>'[18]Eversource Elect_Table_B'!$O10</f>
        <v>1882.8149265155776</v>
      </c>
      <c r="O11" s="385">
        <f>'[18]Eversource Elect_Table_B'!$O37</f>
        <v>1118.7406888718137</v>
      </c>
      <c r="P11" s="385">
        <f>'[18]Eversource Elect_Table_B'!$O64</f>
        <v>614.2059862611552</v>
      </c>
    </row>
    <row r="12" spans="1:16" ht="18.75" thickBot="1" x14ac:dyDescent="0.3">
      <c r="A12" s="27" t="s">
        <v>43</v>
      </c>
      <c r="B12" s="26"/>
      <c r="C12" s="26"/>
      <c r="D12" s="238" t="s">
        <v>276</v>
      </c>
      <c r="E12" s="385">
        <v>609.53</v>
      </c>
      <c r="F12" s="385">
        <v>1001.75</v>
      </c>
      <c r="G12" s="385">
        <v>1328</v>
      </c>
      <c r="H12" s="385">
        <v>1874.97</v>
      </c>
      <c r="I12" s="385">
        <v>1597.92</v>
      </c>
      <c r="J12" s="385">
        <v>1380</v>
      </c>
      <c r="K12" s="385">
        <v>1676.01</v>
      </c>
      <c r="L12" s="385">
        <v>668.14200000000005</v>
      </c>
      <c r="M12" s="385">
        <v>933.22199999999998</v>
      </c>
      <c r="N12" s="385">
        <f>'[18]Eversource Elect_Table_B'!$O11</f>
        <v>673.39734998960182</v>
      </c>
      <c r="O12" s="385">
        <f>'[18]Eversource Elect_Table_B'!$O38</f>
        <v>339.76944884085049</v>
      </c>
      <c r="P12" s="385">
        <f>'[18]Eversource Elect_Table_B'!$O65</f>
        <v>256.28787956783577</v>
      </c>
    </row>
    <row r="13" spans="1:16" ht="18.75" thickBot="1" x14ac:dyDescent="0.3">
      <c r="A13" s="27"/>
      <c r="B13" s="26"/>
      <c r="C13" s="26"/>
      <c r="D13" s="238" t="s">
        <v>140</v>
      </c>
      <c r="E13" s="385">
        <v>0</v>
      </c>
      <c r="F13" s="385">
        <v>7472.612811</v>
      </c>
      <c r="G13" s="385">
        <v>12520</v>
      </c>
      <c r="H13" s="385">
        <v>4066.47</v>
      </c>
      <c r="I13" s="385">
        <v>4066.4703196347032</v>
      </c>
      <c r="J13" s="385">
        <v>2508</v>
      </c>
      <c r="K13" s="385">
        <v>1383</v>
      </c>
      <c r="L13" s="385">
        <v>0</v>
      </c>
      <c r="M13" s="385">
        <v>0</v>
      </c>
      <c r="N13" s="385">
        <f>'[18]Eversource Elect_Table_B'!$O12</f>
        <v>81.621004566210047</v>
      </c>
      <c r="O13" s="385">
        <f>'[18]Eversource Elect_Table_B'!$O39</f>
        <v>81.621004566210047</v>
      </c>
      <c r="P13" s="385">
        <f>'[18]Eversource Elect_Table_B'!$O66</f>
        <v>81.621004566210047</v>
      </c>
    </row>
    <row r="14" spans="1:16" ht="18.75" thickBot="1" x14ac:dyDescent="0.3">
      <c r="A14" s="26"/>
      <c r="B14" s="26"/>
      <c r="C14" s="26"/>
      <c r="D14" s="245" t="s">
        <v>308</v>
      </c>
      <c r="E14" s="384">
        <f t="shared" ref="E14:M14" si="0">SUM(E8:E13)</f>
        <v>9622.7900000000009</v>
      </c>
      <c r="F14" s="384">
        <f t="shared" si="0"/>
        <v>19221.742811</v>
      </c>
      <c r="G14" s="384">
        <f t="shared" si="0"/>
        <v>26241.89</v>
      </c>
      <c r="H14" s="384">
        <f t="shared" si="0"/>
        <v>20077.599999999999</v>
      </c>
      <c r="I14" s="384">
        <f t="shared" si="0"/>
        <v>20218.660319634702</v>
      </c>
      <c r="J14" s="384">
        <f t="shared" si="0"/>
        <v>11279</v>
      </c>
      <c r="K14" s="384">
        <f t="shared" si="0"/>
        <v>13022.5</v>
      </c>
      <c r="L14" s="384">
        <f t="shared" si="0"/>
        <v>9921.4490000000005</v>
      </c>
      <c r="M14" s="384">
        <f t="shared" si="0"/>
        <v>11006.648000000001</v>
      </c>
      <c r="N14" s="384">
        <f t="shared" ref="N14:P14" si="1">SUM(N8:N13)</f>
        <v>6418.2814715861696</v>
      </c>
      <c r="O14" s="384">
        <f t="shared" ref="O14" si="2">SUM(O8:O13)</f>
        <v>3928.4872448751012</v>
      </c>
      <c r="P14" s="384">
        <f t="shared" si="1"/>
        <v>3171.8123141142601</v>
      </c>
    </row>
    <row r="15" spans="1:16" ht="21.75" customHeight="1" thickBot="1" x14ac:dyDescent="0.3">
      <c r="A15" s="28"/>
      <c r="B15" s="26"/>
      <c r="C15" s="26"/>
      <c r="D15" s="956" t="s">
        <v>16</v>
      </c>
      <c r="E15" s="956"/>
      <c r="F15" s="956"/>
      <c r="G15" s="956"/>
      <c r="H15" s="956"/>
      <c r="I15" s="956"/>
      <c r="J15" s="956"/>
      <c r="K15" s="956"/>
      <c r="L15" s="956"/>
      <c r="M15" s="956"/>
      <c r="N15" s="952"/>
      <c r="O15" s="952"/>
      <c r="P15" s="952"/>
    </row>
    <row r="16" spans="1:16" ht="18.75" thickBot="1" x14ac:dyDescent="0.3">
      <c r="A16" s="29" t="s">
        <v>44</v>
      </c>
      <c r="B16" s="26"/>
      <c r="C16" s="26"/>
      <c r="D16" s="238" t="s">
        <v>163</v>
      </c>
      <c r="E16" s="385">
        <v>6523.38</v>
      </c>
      <c r="F16" s="385">
        <v>7793</v>
      </c>
      <c r="G16" s="385">
        <v>7103</v>
      </c>
      <c r="H16" s="385">
        <v>6564.25</v>
      </c>
      <c r="I16" s="385">
        <v>3961.7599999999993</v>
      </c>
      <c r="J16" s="385">
        <v>2779</v>
      </c>
      <c r="K16" s="385">
        <v>3857</v>
      </c>
      <c r="L16" s="385">
        <v>3192.9650000000001</v>
      </c>
      <c r="M16" s="385">
        <v>4262.549</v>
      </c>
      <c r="N16" s="385">
        <f>'[18]Eversource Elect_Table_B'!$O15</f>
        <v>5100.7189313853514</v>
      </c>
      <c r="O16" s="385">
        <f>'[18]Eversource Elect_Table_B'!$O42</f>
        <v>3904.1674959900247</v>
      </c>
      <c r="P16" s="385">
        <f>'[18]Eversource Elect_Table_B'!$O69</f>
        <v>3966.8047105163878</v>
      </c>
    </row>
    <row r="17" spans="1:16" ht="21" customHeight="1" thickBot="1" x14ac:dyDescent="0.3">
      <c r="A17" s="29" t="s">
        <v>44</v>
      </c>
      <c r="B17" s="26"/>
      <c r="C17" s="26"/>
      <c r="D17" s="238" t="s">
        <v>164</v>
      </c>
      <c r="E17" s="385">
        <v>7843.03</v>
      </c>
      <c r="F17" s="385">
        <v>10798</v>
      </c>
      <c r="G17" s="385">
        <v>14840</v>
      </c>
      <c r="H17" s="385">
        <v>14567.33</v>
      </c>
      <c r="I17" s="385">
        <v>13246.25</v>
      </c>
      <c r="J17" s="385">
        <v>18377</v>
      </c>
      <c r="K17" s="385">
        <v>18389</v>
      </c>
      <c r="L17" s="385">
        <v>15230.312</v>
      </c>
      <c r="M17" s="385">
        <v>15133.393</v>
      </c>
      <c r="N17" s="385">
        <f>'[18]Eversource Elect_Table_B'!$O16</f>
        <v>10882.004074061864</v>
      </c>
      <c r="O17" s="385">
        <f>'[18]Eversource Elect_Table_B'!$O43</f>
        <v>9435.8255262770635</v>
      </c>
      <c r="P17" s="385">
        <f>'[18]Eversource Elect_Table_B'!$O70</f>
        <v>9359.8634164591385</v>
      </c>
    </row>
    <row r="18" spans="1:16" ht="36.75" thickBot="1" x14ac:dyDescent="0.3">
      <c r="A18" s="29" t="s">
        <v>44</v>
      </c>
      <c r="B18" s="26"/>
      <c r="C18" s="26"/>
      <c r="D18" s="279" t="s">
        <v>411</v>
      </c>
      <c r="E18" s="385">
        <v>789.21</v>
      </c>
      <c r="F18" s="385">
        <v>1268.79</v>
      </c>
      <c r="G18" s="385">
        <v>1340</v>
      </c>
      <c r="H18" s="385">
        <v>834.67</v>
      </c>
      <c r="I18" s="385">
        <v>651.70999999999992</v>
      </c>
      <c r="J18" s="385">
        <v>1498</v>
      </c>
      <c r="K18" s="385">
        <v>1497.53</v>
      </c>
      <c r="L18" s="385">
        <v>451.21199999999999</v>
      </c>
      <c r="M18" s="385">
        <v>655.67399999999998</v>
      </c>
      <c r="N18" s="385">
        <f>'[18]Eversource Elect_Table_B'!$O17</f>
        <v>1664.4410220261354</v>
      </c>
      <c r="O18" s="385">
        <f>'[18]Eversource Elect_Table_B'!$O44</f>
        <v>1522.5475764075486</v>
      </c>
      <c r="P18" s="385">
        <f>'[18]Eversource Elect_Table_B'!$O71</f>
        <v>1794.451962279644</v>
      </c>
    </row>
    <row r="19" spans="1:16" ht="18.75" thickBot="1" x14ac:dyDescent="0.3">
      <c r="A19" s="29" t="s">
        <v>44</v>
      </c>
      <c r="B19" s="26"/>
      <c r="C19" s="26"/>
      <c r="D19" s="238" t="s">
        <v>117</v>
      </c>
      <c r="E19" s="385">
        <v>2943</v>
      </c>
      <c r="F19" s="385">
        <v>3169</v>
      </c>
      <c r="G19" s="385">
        <v>4140</v>
      </c>
      <c r="H19" s="385">
        <v>5519.31</v>
      </c>
      <c r="I19" s="385">
        <v>5246.56</v>
      </c>
      <c r="J19" s="385">
        <v>4530</v>
      </c>
      <c r="K19" s="385">
        <v>4534.7</v>
      </c>
      <c r="L19" s="385">
        <v>2155.5549999999998</v>
      </c>
      <c r="M19" s="385">
        <v>3583.105</v>
      </c>
      <c r="N19" s="385">
        <f>'[18]Eversource Elect_Table_B'!$O18</f>
        <v>5248.9054608508586</v>
      </c>
      <c r="O19" s="385">
        <f>'[18]Eversource Elect_Table_B'!$O45</f>
        <v>4036.2681052938592</v>
      </c>
      <c r="P19" s="385">
        <f>'[18]Eversource Elect_Table_B'!$O72</f>
        <v>4212.3109382911534</v>
      </c>
    </row>
    <row r="20" spans="1:16" s="1" customFormat="1" ht="18.75" thickBot="1" x14ac:dyDescent="0.3">
      <c r="A20" s="30"/>
      <c r="B20" s="31"/>
      <c r="C20" s="31"/>
      <c r="D20" s="259" t="s">
        <v>277</v>
      </c>
      <c r="E20" s="384">
        <f>SUM(E16:E19)</f>
        <v>18098.62</v>
      </c>
      <c r="F20" s="384">
        <f t="shared" ref="F20:P20" si="3">SUM(F16:F19)</f>
        <v>23028.79</v>
      </c>
      <c r="G20" s="384">
        <f t="shared" si="3"/>
        <v>27423</v>
      </c>
      <c r="H20" s="384">
        <f t="shared" si="3"/>
        <v>27485.56</v>
      </c>
      <c r="I20" s="384">
        <f t="shared" si="3"/>
        <v>23106.28</v>
      </c>
      <c r="J20" s="384">
        <f t="shared" si="3"/>
        <v>27184</v>
      </c>
      <c r="K20" s="384">
        <f t="shared" si="3"/>
        <v>28278.23</v>
      </c>
      <c r="L20" s="384">
        <f t="shared" si="3"/>
        <v>21030.044000000002</v>
      </c>
      <c r="M20" s="384">
        <f t="shared" si="3"/>
        <v>23634.720999999998</v>
      </c>
      <c r="N20" s="384">
        <f>SUM(N16:N19)</f>
        <v>22896.06948832421</v>
      </c>
      <c r="O20" s="384">
        <f t="shared" si="3"/>
        <v>18898.808703968498</v>
      </c>
      <c r="P20" s="384">
        <f t="shared" si="3"/>
        <v>19333.431027546321</v>
      </c>
    </row>
    <row r="21" spans="1:16" ht="21.75" customHeight="1" thickBot="1" x14ac:dyDescent="0.3">
      <c r="A21" s="28"/>
      <c r="B21" s="26"/>
      <c r="C21" s="26"/>
      <c r="D21" s="856" t="s">
        <v>19</v>
      </c>
      <c r="E21" s="856"/>
      <c r="F21" s="856"/>
      <c r="G21" s="856"/>
      <c r="H21" s="856"/>
      <c r="I21" s="856"/>
      <c r="J21" s="856"/>
      <c r="K21" s="856"/>
      <c r="L21" s="856"/>
      <c r="M21" s="856"/>
      <c r="N21" s="952"/>
      <c r="O21" s="952"/>
      <c r="P21" s="952"/>
    </row>
    <row r="22" spans="1:16" ht="18.75" thickBot="1" x14ac:dyDescent="0.3">
      <c r="A22" s="29" t="s">
        <v>44</v>
      </c>
      <c r="B22" s="26"/>
      <c r="C22" s="26"/>
      <c r="D22" s="242" t="s">
        <v>118</v>
      </c>
      <c r="E22" s="385">
        <v>95642</v>
      </c>
      <c r="F22" s="385">
        <v>88627</v>
      </c>
      <c r="G22" s="385">
        <v>112487</v>
      </c>
      <c r="H22" s="385">
        <v>36097</v>
      </c>
      <c r="I22" s="385">
        <v>40746</v>
      </c>
      <c r="J22" s="385">
        <v>39679</v>
      </c>
      <c r="K22" s="385">
        <v>0</v>
      </c>
      <c r="L22" s="385">
        <v>0</v>
      </c>
      <c r="M22" s="385">
        <v>0</v>
      </c>
      <c r="N22" s="385">
        <v>0</v>
      </c>
      <c r="O22" s="385">
        <v>0</v>
      </c>
      <c r="P22" s="385">
        <v>0</v>
      </c>
    </row>
    <row r="23" spans="1:16" ht="18.75" thickBot="1" x14ac:dyDescent="0.3">
      <c r="A23" s="29"/>
      <c r="B23" s="26"/>
      <c r="C23" s="26"/>
      <c r="D23" s="242" t="s">
        <v>256</v>
      </c>
      <c r="E23" s="385">
        <v>0</v>
      </c>
      <c r="F23" s="385">
        <v>0</v>
      </c>
      <c r="G23" s="385">
        <v>0</v>
      </c>
      <c r="H23" s="385">
        <v>0</v>
      </c>
      <c r="I23" s="385">
        <v>0</v>
      </c>
      <c r="J23" s="385">
        <v>0</v>
      </c>
      <c r="K23" s="385">
        <v>2721</v>
      </c>
      <c r="L23" s="385">
        <v>12688</v>
      </c>
      <c r="M23" s="385">
        <v>14954.15</v>
      </c>
      <c r="N23" s="385">
        <f>'[18]Eversource Elect_Table_B'!$O21</f>
        <v>15035</v>
      </c>
      <c r="O23" s="385">
        <f>'[18]Eversource Elect_Table_B'!$O48</f>
        <v>14426.5</v>
      </c>
      <c r="P23" s="385">
        <f>'[18]Eversource Elect_Table_B'!$O75</f>
        <v>15869.150000000003</v>
      </c>
    </row>
    <row r="24" spans="1:16" ht="18.75" thickBot="1" x14ac:dyDescent="0.3">
      <c r="A24" s="29"/>
      <c r="B24" s="26"/>
      <c r="C24" s="26"/>
      <c r="D24" s="242" t="s">
        <v>258</v>
      </c>
      <c r="E24" s="385">
        <v>0</v>
      </c>
      <c r="F24" s="385">
        <v>0</v>
      </c>
      <c r="G24" s="385">
        <v>0</v>
      </c>
      <c r="H24" s="385">
        <v>0</v>
      </c>
      <c r="I24" s="385">
        <v>0</v>
      </c>
      <c r="J24" s="385">
        <v>0</v>
      </c>
      <c r="K24" s="385">
        <v>12930.61</v>
      </c>
      <c r="L24" s="385">
        <v>50301</v>
      </c>
      <c r="M24" s="385">
        <v>61379.199999999997</v>
      </c>
      <c r="N24" s="385">
        <f>'[18]Eversource Elect_Table_B'!$O22</f>
        <v>78100</v>
      </c>
      <c r="O24" s="753">
        <f>'[18]Eversource Elect_Table_B'!$O49-80630+79200</f>
        <v>79200.000000000015</v>
      </c>
      <c r="P24" s="385">
        <f>'[18]Eversource Elect_Table_B'!$O76</f>
        <v>84661.499999999985</v>
      </c>
    </row>
    <row r="25" spans="1:16" ht="18.75" thickBot="1" x14ac:dyDescent="0.3">
      <c r="A25" s="26"/>
      <c r="B25" s="26"/>
      <c r="C25" s="26"/>
      <c r="D25" s="259" t="s">
        <v>20</v>
      </c>
      <c r="E25" s="384">
        <f t="shared" ref="E25:J25" si="4">SUM(E22:E22)</f>
        <v>95642</v>
      </c>
      <c r="F25" s="384">
        <f t="shared" si="4"/>
        <v>88627</v>
      </c>
      <c r="G25" s="384">
        <f t="shared" si="4"/>
        <v>112487</v>
      </c>
      <c r="H25" s="384">
        <f t="shared" si="4"/>
        <v>36097</v>
      </c>
      <c r="I25" s="384">
        <f t="shared" si="4"/>
        <v>40746</v>
      </c>
      <c r="J25" s="384">
        <f t="shared" si="4"/>
        <v>39679</v>
      </c>
      <c r="K25" s="384">
        <f t="shared" ref="K25:P25" si="5">SUM(K22:K24)</f>
        <v>15651.61</v>
      </c>
      <c r="L25" s="384">
        <f t="shared" si="5"/>
        <v>62989</v>
      </c>
      <c r="M25" s="384">
        <f t="shared" si="5"/>
        <v>76333.349999999991</v>
      </c>
      <c r="N25" s="384">
        <f t="shared" si="5"/>
        <v>93135</v>
      </c>
      <c r="O25" s="384">
        <f t="shared" si="5"/>
        <v>93626.500000000015</v>
      </c>
      <c r="P25" s="384">
        <f t="shared" si="5"/>
        <v>100530.65</v>
      </c>
    </row>
    <row r="26" spans="1:16" ht="18.75" thickBot="1" x14ac:dyDescent="0.3">
      <c r="A26" s="28"/>
      <c r="B26" s="26"/>
      <c r="C26" s="26"/>
      <c r="D26" s="259" t="s">
        <v>24</v>
      </c>
      <c r="E26" s="387"/>
      <c r="F26" s="387"/>
      <c r="G26" s="387"/>
      <c r="H26" s="387"/>
      <c r="I26" s="387"/>
      <c r="J26" s="387"/>
      <c r="K26" s="387"/>
      <c r="L26" s="387"/>
      <c r="M26" s="387"/>
      <c r="N26" s="387"/>
      <c r="O26" s="387"/>
      <c r="P26" s="387"/>
    </row>
    <row r="27" spans="1:16" s="7" customFormat="1" ht="18.75" hidden="1" thickBot="1" x14ac:dyDescent="0.3">
      <c r="A27" s="33"/>
      <c r="B27" s="34"/>
      <c r="C27" s="34"/>
      <c r="D27" s="376" t="s">
        <v>25</v>
      </c>
      <c r="E27" s="387">
        <f>E14+E23</f>
        <v>9622.7900000000009</v>
      </c>
      <c r="F27" s="387">
        <f t="shared" ref="F27:M27" si="6">F14+F23</f>
        <v>19221.742811</v>
      </c>
      <c r="G27" s="387">
        <f t="shared" si="6"/>
        <v>26241.89</v>
      </c>
      <c r="H27" s="387">
        <f t="shared" si="6"/>
        <v>20077.599999999999</v>
      </c>
      <c r="I27" s="387">
        <f t="shared" si="6"/>
        <v>20218.660319634702</v>
      </c>
      <c r="J27" s="387">
        <f t="shared" si="6"/>
        <v>11279</v>
      </c>
      <c r="K27" s="387">
        <f t="shared" si="6"/>
        <v>15743.5</v>
      </c>
      <c r="L27" s="387">
        <f t="shared" si="6"/>
        <v>22609.449000000001</v>
      </c>
      <c r="M27" s="387">
        <f t="shared" si="6"/>
        <v>25960.798000000003</v>
      </c>
      <c r="N27" s="387">
        <f t="shared" ref="N27:P27" si="7">N14+N23</f>
        <v>21453.281471586168</v>
      </c>
      <c r="O27" s="387">
        <f t="shared" ref="O27" si="8">O14+O23</f>
        <v>18354.987244875101</v>
      </c>
      <c r="P27" s="387">
        <f t="shared" si="7"/>
        <v>19040.962314114262</v>
      </c>
    </row>
    <row r="28" spans="1:16" s="7" customFormat="1" ht="18.75" hidden="1" thickBot="1" x14ac:dyDescent="0.3">
      <c r="A28" s="33"/>
      <c r="B28" s="34"/>
      <c r="C28" s="34"/>
      <c r="D28" s="376" t="s">
        <v>26</v>
      </c>
      <c r="E28" s="387">
        <f>E20+E22+E24</f>
        <v>113740.62</v>
      </c>
      <c r="F28" s="387">
        <f t="shared" ref="F28:M28" si="9">F20+F22+F24</f>
        <v>111655.79000000001</v>
      </c>
      <c r="G28" s="387">
        <f t="shared" si="9"/>
        <v>139910</v>
      </c>
      <c r="H28" s="387">
        <f t="shared" si="9"/>
        <v>63582.559999999998</v>
      </c>
      <c r="I28" s="387">
        <f t="shared" si="9"/>
        <v>63852.28</v>
      </c>
      <c r="J28" s="387">
        <f t="shared" si="9"/>
        <v>66863</v>
      </c>
      <c r="K28" s="387">
        <f t="shared" si="9"/>
        <v>41208.839999999997</v>
      </c>
      <c r="L28" s="387">
        <f t="shared" si="9"/>
        <v>71331.043999999994</v>
      </c>
      <c r="M28" s="387">
        <f t="shared" si="9"/>
        <v>85013.921000000002</v>
      </c>
      <c r="N28" s="387">
        <f t="shared" ref="N28:P28" si="10">N20+N22+N24</f>
        <v>100996.06948832421</v>
      </c>
      <c r="O28" s="387">
        <f t="shared" ref="O28" si="11">O20+O22+O24</f>
        <v>98098.808703968505</v>
      </c>
      <c r="P28" s="387">
        <f t="shared" si="10"/>
        <v>103994.93102754631</v>
      </c>
    </row>
    <row r="29" spans="1:16" s="7" customFormat="1" ht="18.75" thickBot="1" x14ac:dyDescent="0.3">
      <c r="A29" s="28"/>
      <c r="B29" s="26"/>
      <c r="C29" s="26"/>
      <c r="D29" s="376" t="s">
        <v>124</v>
      </c>
      <c r="E29" s="384">
        <f>SUM(E27:E28)</f>
        <v>123363.41</v>
      </c>
      <c r="F29" s="384">
        <f t="shared" ref="F29:P29" si="12">SUM(F27:F28)</f>
        <v>130877.53281100001</v>
      </c>
      <c r="G29" s="384">
        <f t="shared" si="12"/>
        <v>166151.89000000001</v>
      </c>
      <c r="H29" s="384">
        <f t="shared" si="12"/>
        <v>83660.160000000003</v>
      </c>
      <c r="I29" s="384">
        <f t="shared" si="12"/>
        <v>84070.940319634698</v>
      </c>
      <c r="J29" s="384">
        <f t="shared" si="12"/>
        <v>78142</v>
      </c>
      <c r="K29" s="384">
        <f t="shared" si="12"/>
        <v>56952.34</v>
      </c>
      <c r="L29" s="384">
        <f t="shared" si="12"/>
        <v>93940.492999999988</v>
      </c>
      <c r="M29" s="384">
        <f t="shared" si="12"/>
        <v>110974.71900000001</v>
      </c>
      <c r="N29" s="384">
        <f t="shared" si="12"/>
        <v>122449.35095991037</v>
      </c>
      <c r="O29" s="384">
        <f t="shared" si="12"/>
        <v>116453.7959488436</v>
      </c>
      <c r="P29" s="384">
        <f t="shared" si="12"/>
        <v>123035.89334166057</v>
      </c>
    </row>
    <row r="30" spans="1:16" s="7" customFormat="1" ht="18" customHeight="1" thickBot="1" x14ac:dyDescent="0.3">
      <c r="A30" s="28"/>
      <c r="B30" s="26"/>
      <c r="C30" s="26"/>
      <c r="D30" s="376" t="s">
        <v>99</v>
      </c>
      <c r="E30" s="384">
        <f>E29-E22</f>
        <v>27721.410000000003</v>
      </c>
      <c r="F30" s="384">
        <f t="shared" ref="F30:P30" si="13">F29-F22</f>
        <v>42250.532811000012</v>
      </c>
      <c r="G30" s="384">
        <f t="shared" si="13"/>
        <v>53664.890000000014</v>
      </c>
      <c r="H30" s="384">
        <f t="shared" si="13"/>
        <v>47563.16</v>
      </c>
      <c r="I30" s="384">
        <f t="shared" si="13"/>
        <v>43324.940319634698</v>
      </c>
      <c r="J30" s="384">
        <f t="shared" si="13"/>
        <v>38463</v>
      </c>
      <c r="K30" s="384">
        <f t="shared" si="13"/>
        <v>56952.34</v>
      </c>
      <c r="L30" s="384">
        <f t="shared" si="13"/>
        <v>93940.492999999988</v>
      </c>
      <c r="M30" s="384">
        <f t="shared" si="13"/>
        <v>110974.71900000001</v>
      </c>
      <c r="N30" s="384">
        <f t="shared" si="13"/>
        <v>122449.35095991037</v>
      </c>
      <c r="O30" s="384">
        <f t="shared" si="13"/>
        <v>116453.7959488436</v>
      </c>
      <c r="P30" s="384">
        <f t="shared" si="13"/>
        <v>123035.89334166057</v>
      </c>
    </row>
    <row r="31" spans="1:16" ht="7.5" customHeight="1" x14ac:dyDescent="0.25">
      <c r="A31" s="35"/>
      <c r="B31" s="35"/>
      <c r="C31" s="35"/>
      <c r="D31" s="66"/>
    </row>
    <row r="32" spans="1:16" ht="14.25" x14ac:dyDescent="0.2">
      <c r="A32" s="35"/>
      <c r="B32" s="35"/>
      <c r="C32" s="35"/>
      <c r="D32" s="67"/>
      <c r="E32" s="41"/>
      <c r="L32" t="s">
        <v>13</v>
      </c>
    </row>
    <row r="33" spans="1:4" ht="15.75" x14ac:dyDescent="0.25">
      <c r="A33" s="35"/>
      <c r="B33" s="35"/>
      <c r="C33" s="35"/>
      <c r="D33" s="87"/>
    </row>
    <row r="34" spans="1:4" ht="15.75" x14ac:dyDescent="0.25">
      <c r="A34" s="35"/>
      <c r="B34" s="35"/>
      <c r="C34" s="35"/>
      <c r="D34" s="87"/>
    </row>
    <row r="35" spans="1:4" ht="15.75" x14ac:dyDescent="0.25">
      <c r="A35" s="35"/>
      <c r="B35" s="35"/>
      <c r="C35" s="35"/>
      <c r="D35" s="87"/>
    </row>
    <row r="36" spans="1:4" ht="15.75" x14ac:dyDescent="0.25">
      <c r="A36" s="35"/>
      <c r="B36" s="35"/>
      <c r="C36" s="35"/>
      <c r="D36" s="87"/>
    </row>
    <row r="37" spans="1:4" ht="15.75" x14ac:dyDescent="0.25">
      <c r="A37" s="35"/>
      <c r="B37" s="35"/>
      <c r="C37" s="35"/>
      <c r="D37" s="87"/>
    </row>
    <row r="38" spans="1:4" ht="15.75" x14ac:dyDescent="0.25">
      <c r="A38" s="35"/>
      <c r="B38" s="35"/>
      <c r="C38" s="35"/>
      <c r="D38" s="87"/>
    </row>
    <row r="39" spans="1:4" ht="15.75" x14ac:dyDescent="0.25">
      <c r="A39" s="35"/>
      <c r="B39" s="35"/>
      <c r="C39" s="35"/>
      <c r="D39" s="87"/>
    </row>
    <row r="40" spans="1:4" ht="15.75" x14ac:dyDescent="0.25">
      <c r="A40" s="35"/>
      <c r="B40" s="35"/>
      <c r="C40" s="35"/>
      <c r="D40" s="87"/>
    </row>
    <row r="41" spans="1:4" ht="15.75" x14ac:dyDescent="0.25">
      <c r="A41" s="35"/>
      <c r="B41" s="35"/>
      <c r="C41" s="35"/>
      <c r="D41" s="87"/>
    </row>
    <row r="42" spans="1:4" ht="15" x14ac:dyDescent="0.2">
      <c r="A42" s="3"/>
      <c r="B42" s="3"/>
      <c r="C42" s="3"/>
      <c r="D42" s="2"/>
    </row>
    <row r="43" spans="1:4" ht="15" x14ac:dyDescent="0.2">
      <c r="A43" s="3"/>
      <c r="B43" s="3"/>
      <c r="C43" s="3"/>
      <c r="D43" s="5"/>
    </row>
    <row r="44" spans="1:4" ht="15" x14ac:dyDescent="0.2">
      <c r="A44" s="3"/>
      <c r="B44" s="3"/>
      <c r="C44" s="3"/>
      <c r="D44" s="5"/>
    </row>
  </sheetData>
  <mergeCells count="6">
    <mergeCell ref="D21:P21"/>
    <mergeCell ref="N4:P4"/>
    <mergeCell ref="D2:P2"/>
    <mergeCell ref="D3:P3"/>
    <mergeCell ref="D7:P7"/>
    <mergeCell ref="D15:P15"/>
  </mergeCells>
  <printOptions horizontalCentered="1"/>
  <pageMargins left="0.5" right="0.5" top="0.75" bottom="0.75" header="0.5" footer="0.25"/>
  <pageSetup scale="83"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theme="9" tint="0.39997558519241921"/>
    <pageSetUpPr fitToPage="1"/>
  </sheetPr>
  <dimension ref="A1:U39"/>
  <sheetViews>
    <sheetView showGridLines="0" topLeftCell="C1" zoomScale="70" zoomScaleNormal="70" workbookViewId="0">
      <pane xSplit="2" topLeftCell="E1" activePane="topRight" state="frozen"/>
      <selection activeCell="C4" sqref="C4"/>
      <selection pane="topRight" activeCell="D6" sqref="D6"/>
    </sheetView>
  </sheetViews>
  <sheetFormatPr defaultRowHeight="12.75" x14ac:dyDescent="0.2"/>
  <cols>
    <col min="1" max="1" width="4" hidden="1" customWidth="1"/>
    <col min="2" max="2" width="4.28515625" hidden="1" customWidth="1"/>
    <col min="3" max="3" width="4.28515625" customWidth="1"/>
    <col min="4" max="4" width="63.7109375" customWidth="1"/>
    <col min="5" max="5" width="14.7109375" hidden="1" customWidth="1"/>
    <col min="6" max="16" width="14.7109375" customWidth="1"/>
    <col min="19" max="20" width="9.42578125" bestFit="1" customWidth="1"/>
  </cols>
  <sheetData>
    <row r="1" spans="1:21" x14ac:dyDescent="0.2">
      <c r="E1" s="4"/>
      <c r="F1" s="4"/>
      <c r="G1" s="4"/>
      <c r="H1" s="4"/>
      <c r="I1" s="4"/>
      <c r="J1" s="4"/>
      <c r="K1" s="4"/>
      <c r="L1" s="4"/>
      <c r="M1" s="4"/>
      <c r="N1" s="4"/>
      <c r="O1" s="4"/>
      <c r="P1" s="4"/>
    </row>
    <row r="2" spans="1:21" ht="21" customHeight="1" x14ac:dyDescent="0.35">
      <c r="A2" s="4"/>
      <c r="B2" s="4"/>
      <c r="C2" s="4"/>
      <c r="D2" s="869" t="s">
        <v>330</v>
      </c>
      <c r="E2" s="869"/>
      <c r="F2" s="869"/>
      <c r="G2" s="869"/>
      <c r="H2" s="869"/>
      <c r="I2" s="869"/>
      <c r="J2" s="869"/>
      <c r="K2" s="869"/>
      <c r="L2" s="869"/>
      <c r="M2" s="869"/>
      <c r="N2" s="955"/>
      <c r="O2" s="955"/>
      <c r="P2" s="955"/>
    </row>
    <row r="3" spans="1:21" ht="21" customHeight="1" x14ac:dyDescent="0.35">
      <c r="A3" s="4"/>
      <c r="B3" s="4"/>
      <c r="C3" s="4"/>
      <c r="D3" s="950" t="s">
        <v>336</v>
      </c>
      <c r="E3" s="950"/>
      <c r="F3" s="950"/>
      <c r="G3" s="950"/>
      <c r="H3" s="950"/>
      <c r="I3" s="950"/>
      <c r="J3" s="950"/>
      <c r="K3" s="950"/>
      <c r="L3" s="950"/>
      <c r="M3" s="950"/>
      <c r="N3" s="955"/>
      <c r="O3" s="955"/>
      <c r="P3" s="955"/>
    </row>
    <row r="4" spans="1:21" ht="24" customHeight="1" thickBot="1" x14ac:dyDescent="0.3">
      <c r="A4" s="4"/>
      <c r="B4" s="23"/>
      <c r="C4" s="23"/>
      <c r="D4" s="41"/>
      <c r="E4" s="41"/>
      <c r="F4" s="41"/>
      <c r="G4" s="41"/>
      <c r="H4" s="41"/>
      <c r="I4" s="41"/>
      <c r="J4" s="41"/>
      <c r="K4" s="41"/>
      <c r="L4" s="41"/>
      <c r="M4" s="41"/>
      <c r="N4" s="953"/>
      <c r="O4" s="954"/>
      <c r="P4" s="954"/>
    </row>
    <row r="5" spans="1:21" ht="24" customHeight="1" x14ac:dyDescent="0.25">
      <c r="A5" s="4"/>
      <c r="D5" s="392"/>
      <c r="E5" s="293"/>
      <c r="F5" s="293"/>
      <c r="G5" s="293"/>
      <c r="H5" s="293"/>
      <c r="I5" s="293"/>
      <c r="J5" s="293"/>
      <c r="K5" s="293"/>
      <c r="L5" s="293"/>
      <c r="M5" s="293"/>
      <c r="N5" s="293"/>
      <c r="O5" s="293"/>
      <c r="P5" s="293"/>
    </row>
    <row r="6" spans="1:21" ht="18" customHeight="1" x14ac:dyDescent="0.25">
      <c r="A6" s="4"/>
      <c r="B6" s="23"/>
      <c r="C6" s="23"/>
      <c r="D6" s="256"/>
      <c r="E6" s="256">
        <v>2013</v>
      </c>
      <c r="F6" s="256">
        <v>2014</v>
      </c>
      <c r="G6" s="256">
        <v>2015</v>
      </c>
      <c r="H6" s="256">
        <v>2016</v>
      </c>
      <c r="I6" s="256">
        <v>2017</v>
      </c>
      <c r="J6" s="256">
        <v>2018</v>
      </c>
      <c r="K6" s="256">
        <v>2019</v>
      </c>
      <c r="L6" s="256">
        <v>2020</v>
      </c>
      <c r="M6" s="256">
        <v>2021</v>
      </c>
      <c r="N6" s="256">
        <v>2022</v>
      </c>
      <c r="O6" s="256">
        <v>2023</v>
      </c>
      <c r="P6" s="256">
        <v>2024</v>
      </c>
    </row>
    <row r="7" spans="1:21" ht="17.25" customHeight="1" thickBot="1" x14ac:dyDescent="0.3">
      <c r="A7" s="15"/>
      <c r="B7" s="15"/>
      <c r="C7" s="15"/>
      <c r="D7" s="390"/>
      <c r="E7" s="391" t="s">
        <v>98</v>
      </c>
      <c r="F7" s="391" t="s">
        <v>98</v>
      </c>
      <c r="G7" s="391" t="s">
        <v>98</v>
      </c>
      <c r="H7" s="391" t="s">
        <v>98</v>
      </c>
      <c r="I7" s="391" t="s">
        <v>98</v>
      </c>
      <c r="J7" s="391" t="s">
        <v>98</v>
      </c>
      <c r="K7" s="391" t="s">
        <v>98</v>
      </c>
      <c r="L7" s="391" t="s">
        <v>98</v>
      </c>
      <c r="M7" s="391" t="s">
        <v>98</v>
      </c>
      <c r="N7" s="391" t="s">
        <v>269</v>
      </c>
      <c r="O7" s="391" t="s">
        <v>269</v>
      </c>
      <c r="P7" s="391" t="s">
        <v>269</v>
      </c>
    </row>
    <row r="8" spans="1:21" ht="21.75" customHeight="1" thickBot="1" x14ac:dyDescent="0.3">
      <c r="A8" s="15"/>
      <c r="B8" s="15"/>
      <c r="C8" s="15"/>
      <c r="D8" s="957" t="s">
        <v>15</v>
      </c>
      <c r="E8" s="957"/>
      <c r="F8" s="957"/>
      <c r="G8" s="957"/>
      <c r="H8" s="957"/>
      <c r="I8" s="957"/>
      <c r="J8" s="957"/>
      <c r="K8" s="957"/>
      <c r="L8" s="957"/>
      <c r="M8" s="957"/>
      <c r="N8" s="952"/>
      <c r="O8" s="952"/>
      <c r="P8" s="952"/>
    </row>
    <row r="9" spans="1:21" s="7" customFormat="1" ht="18.75" thickBot="1" x14ac:dyDescent="0.3">
      <c r="A9" s="24" t="s">
        <v>43</v>
      </c>
      <c r="B9" s="25"/>
      <c r="C9" s="25"/>
      <c r="D9" s="238" t="s">
        <v>165</v>
      </c>
      <c r="E9" s="385">
        <v>62948.915999999997</v>
      </c>
      <c r="F9" s="385">
        <v>64212.55</v>
      </c>
      <c r="G9" s="385">
        <v>64799.417000000001</v>
      </c>
      <c r="H9" s="385">
        <v>82138.48</v>
      </c>
      <c r="I9" s="385">
        <v>77197.824999999997</v>
      </c>
      <c r="J9" s="385">
        <v>24499.373</v>
      </c>
      <c r="K9" s="385">
        <v>36243.57</v>
      </c>
      <c r="L9" s="385">
        <v>40184.71</v>
      </c>
      <c r="M9" s="385">
        <v>41241.171170000001</v>
      </c>
      <c r="N9" s="385">
        <f>'[18]Eversource Elect_Table_B'!$M7</f>
        <v>11603.652823563591</v>
      </c>
      <c r="O9" s="385">
        <f>'[18]Eversource Elect_Table_B'!$M34</f>
        <v>6472.7953104785665</v>
      </c>
      <c r="P9" s="385">
        <f>'[18]Eversource Elect_Table_B'!$M61</f>
        <v>5391.0672190721643</v>
      </c>
      <c r="S9" s="227"/>
      <c r="T9" s="227"/>
      <c r="U9" s="227"/>
    </row>
    <row r="10" spans="1:21" s="1" customFormat="1" ht="18.75" thickBot="1" x14ac:dyDescent="0.3">
      <c r="A10" s="24" t="s">
        <v>43</v>
      </c>
      <c r="B10" s="25"/>
      <c r="C10" s="25"/>
      <c r="D10" s="243" t="s">
        <v>115</v>
      </c>
      <c r="E10" s="385">
        <v>1896.4290000000001</v>
      </c>
      <c r="F10" s="385">
        <v>2827.84</v>
      </c>
      <c r="G10" s="385">
        <v>3540.0610000000001</v>
      </c>
      <c r="H10" s="385">
        <v>2363.4830000000002</v>
      </c>
      <c r="I10" s="385">
        <v>3249.9119999999998</v>
      </c>
      <c r="J10" s="385">
        <v>2243.7139999999999</v>
      </c>
      <c r="K10" s="385">
        <v>3524.2840000000001</v>
      </c>
      <c r="L10" s="385">
        <v>5423.9650000000001</v>
      </c>
      <c r="M10" s="385">
        <v>4043.2823400000002</v>
      </c>
      <c r="N10" s="385">
        <f>'[18]Eversource Elect_Table_B'!$M8</f>
        <v>3348.0562053083968</v>
      </c>
      <c r="O10" s="385">
        <f>'[18]Eversource Elect_Table_B'!$M35</f>
        <v>2749.4604686212283</v>
      </c>
      <c r="P10" s="385">
        <f>'[18]Eversource Elect_Table_B'!$M62</f>
        <v>2557.6708250607912</v>
      </c>
      <c r="S10" s="227"/>
      <c r="T10" s="227"/>
      <c r="U10" s="227"/>
    </row>
    <row r="11" spans="1:21" s="1" customFormat="1" ht="37.5" customHeight="1" thickBot="1" x14ac:dyDescent="0.3">
      <c r="A11" s="24" t="s">
        <v>43</v>
      </c>
      <c r="B11" s="25"/>
      <c r="C11" s="25"/>
      <c r="D11" s="279" t="s">
        <v>419</v>
      </c>
      <c r="E11" s="385">
        <v>16558.793000000001</v>
      </c>
      <c r="F11" s="385">
        <v>24010.264999999999</v>
      </c>
      <c r="G11" s="385">
        <v>21500.675999999999</v>
      </c>
      <c r="H11" s="385">
        <v>15322.262000000001</v>
      </c>
      <c r="I11" s="385">
        <v>18175.696</v>
      </c>
      <c r="J11" s="385">
        <v>13571.058000000001</v>
      </c>
      <c r="K11" s="385">
        <v>18113.13</v>
      </c>
      <c r="L11" s="385">
        <v>10047.593000000001</v>
      </c>
      <c r="M11" s="385">
        <v>11627.941000000001</v>
      </c>
      <c r="N11" s="385">
        <f>'[18]Eversource Elect_Table_B'!$M9</f>
        <v>7381.4256347007795</v>
      </c>
      <c r="O11" s="385">
        <f>'[18]Eversource Elect_Table_B'!$M36</f>
        <v>4053.8854454815278</v>
      </c>
      <c r="P11" s="385">
        <f>'[18]Eversource Elect_Table_B'!$M63</f>
        <v>4364.5711186464086</v>
      </c>
      <c r="T11" s="227"/>
      <c r="U11" s="227"/>
    </row>
    <row r="12" spans="1:21" s="1" customFormat="1" ht="18.75" thickBot="1" x14ac:dyDescent="0.3">
      <c r="A12" s="24"/>
      <c r="B12" s="25"/>
      <c r="C12" s="25"/>
      <c r="D12" s="279" t="s">
        <v>520</v>
      </c>
      <c r="E12" s="385">
        <v>0</v>
      </c>
      <c r="F12" s="385">
        <v>0</v>
      </c>
      <c r="G12" s="385">
        <v>0</v>
      </c>
      <c r="H12" s="385">
        <v>8123.0060000000003</v>
      </c>
      <c r="I12" s="385">
        <v>13724.527</v>
      </c>
      <c r="J12" s="385">
        <v>7157.5730000000003</v>
      </c>
      <c r="K12" s="385">
        <v>3612.5650000000001</v>
      </c>
      <c r="L12" s="385">
        <v>4823.5910000000003</v>
      </c>
      <c r="M12" s="385">
        <v>6149.2120000000004</v>
      </c>
      <c r="N12" s="385">
        <f>'[18]Eversource Elect_Table_B'!$M10</f>
        <v>6796.0913646368153</v>
      </c>
      <c r="O12" s="385">
        <f>'[18]Eversource Elect_Table_B'!$M37</f>
        <v>578.81770772864877</v>
      </c>
      <c r="P12" s="385">
        <f>'[18]Eversource Elect_Table_B'!$M64</f>
        <v>-1993.791706901329</v>
      </c>
      <c r="S12" s="231"/>
      <c r="T12" s="227"/>
      <c r="U12" s="227"/>
    </row>
    <row r="13" spans="1:21" ht="22.5" customHeight="1" thickBot="1" x14ac:dyDescent="0.3">
      <c r="A13" s="27" t="s">
        <v>43</v>
      </c>
      <c r="B13" s="26"/>
      <c r="C13" s="26"/>
      <c r="D13" s="238" t="s">
        <v>276</v>
      </c>
      <c r="E13" s="385">
        <v>8187.4030000000002</v>
      </c>
      <c r="F13" s="385">
        <v>11137.396000000001</v>
      </c>
      <c r="G13" s="385">
        <v>14098.401</v>
      </c>
      <c r="H13" s="385">
        <v>15891.493</v>
      </c>
      <c r="I13" s="385">
        <v>16665.713</v>
      </c>
      <c r="J13" s="385">
        <v>13054.944</v>
      </c>
      <c r="K13" s="385">
        <v>10896.81</v>
      </c>
      <c r="L13" s="385">
        <v>6253.817</v>
      </c>
      <c r="M13" s="385">
        <v>6496.5</v>
      </c>
      <c r="N13" s="385">
        <f>'[18]Eversource Elect_Table_B'!$M11</f>
        <v>5038.1394934810442</v>
      </c>
      <c r="O13" s="385">
        <f>'[18]Eversource Elect_Table_B'!$M38</f>
        <v>3299.2501079897434</v>
      </c>
      <c r="P13" s="385">
        <f>'[18]Eversource Elect_Table_B'!$M65</f>
        <v>3032.5690707326389</v>
      </c>
      <c r="S13" s="230"/>
      <c r="T13" s="227"/>
      <c r="U13" s="227"/>
    </row>
    <row r="14" spans="1:21" ht="18.75" thickBot="1" x14ac:dyDescent="0.3">
      <c r="A14" s="27"/>
      <c r="B14" s="26"/>
      <c r="C14" s="26"/>
      <c r="D14" s="238" t="s">
        <v>140</v>
      </c>
      <c r="E14" s="385">
        <v>0</v>
      </c>
      <c r="F14" s="385">
        <v>28927.838</v>
      </c>
      <c r="G14" s="385">
        <v>48466.493000000002</v>
      </c>
      <c r="H14" s="385">
        <v>17811.14</v>
      </c>
      <c r="I14" s="385">
        <v>17811.14</v>
      </c>
      <c r="J14" s="385">
        <v>21968</v>
      </c>
      <c r="K14" s="385">
        <v>12116.825000000001</v>
      </c>
      <c r="L14" s="385">
        <f>[19]EE_Table_B!$M38</f>
        <v>0</v>
      </c>
      <c r="M14" s="385">
        <v>0</v>
      </c>
      <c r="N14" s="385">
        <f>'[18]Eversource Elect_Table_B'!$M12</f>
        <v>715</v>
      </c>
      <c r="O14" s="385">
        <f>'[18]Eversource Elect_Table_B'!$M39</f>
        <v>715</v>
      </c>
      <c r="P14" s="385">
        <f>'[18]Eversource Elect_Table_B'!$M66</f>
        <v>715</v>
      </c>
      <c r="S14" s="227"/>
      <c r="T14" s="227"/>
      <c r="U14" s="227"/>
    </row>
    <row r="15" spans="1:21" ht="18.75" thickBot="1" x14ac:dyDescent="0.3">
      <c r="A15" s="26"/>
      <c r="B15" s="26"/>
      <c r="C15" s="26"/>
      <c r="D15" s="245" t="s">
        <v>291</v>
      </c>
      <c r="E15" s="384">
        <f t="shared" ref="E15:M15" si="0">SUM(E9:E14)</f>
        <v>89591.541000000012</v>
      </c>
      <c r="F15" s="384">
        <f t="shared" si="0"/>
        <v>131115.889</v>
      </c>
      <c r="G15" s="384">
        <f t="shared" si="0"/>
        <v>152405.04800000001</v>
      </c>
      <c r="H15" s="384">
        <f t="shared" si="0"/>
        <v>141649.864</v>
      </c>
      <c r="I15" s="384">
        <f t="shared" si="0"/>
        <v>146824.81299999999</v>
      </c>
      <c r="J15" s="384">
        <f t="shared" si="0"/>
        <v>82494.662000000011</v>
      </c>
      <c r="K15" s="384">
        <f t="shared" si="0"/>
        <v>84507.183999999994</v>
      </c>
      <c r="L15" s="384">
        <f t="shared" si="0"/>
        <v>66733.676000000007</v>
      </c>
      <c r="M15" s="384">
        <f t="shared" si="0"/>
        <v>69558.106509999998</v>
      </c>
      <c r="N15" s="384">
        <f t="shared" ref="N15:O15" si="1">SUM(N9:N14)</f>
        <v>34882.365521690626</v>
      </c>
      <c r="O15" s="384">
        <f t="shared" si="1"/>
        <v>17869.209040299716</v>
      </c>
      <c r="P15" s="384">
        <f t="shared" ref="P15" si="2">SUM(P9:P14)</f>
        <v>14067.086526610674</v>
      </c>
      <c r="S15" s="227"/>
      <c r="T15" s="227"/>
      <c r="U15" s="227"/>
    </row>
    <row r="16" spans="1:21" ht="21.75" customHeight="1" thickBot="1" x14ac:dyDescent="0.3">
      <c r="A16" s="28"/>
      <c r="B16" s="26"/>
      <c r="C16" s="26"/>
      <c r="D16" s="956" t="s">
        <v>16</v>
      </c>
      <c r="E16" s="956"/>
      <c r="F16" s="956"/>
      <c r="G16" s="956"/>
      <c r="H16" s="956"/>
      <c r="I16" s="956"/>
      <c r="J16" s="956"/>
      <c r="K16" s="956"/>
      <c r="L16" s="956"/>
      <c r="M16" s="956"/>
      <c r="N16" s="952"/>
      <c r="O16" s="952"/>
      <c r="P16" s="952"/>
      <c r="S16" s="227"/>
      <c r="T16" s="227"/>
      <c r="U16" s="227"/>
    </row>
    <row r="17" spans="1:21" ht="21" customHeight="1" thickBot="1" x14ac:dyDescent="0.3">
      <c r="A17" s="29" t="s">
        <v>44</v>
      </c>
      <c r="B17" s="26"/>
      <c r="C17" s="26"/>
      <c r="D17" s="296" t="s">
        <v>163</v>
      </c>
      <c r="E17" s="382">
        <v>38740.720999999998</v>
      </c>
      <c r="F17" s="382">
        <v>43422.411999999997</v>
      </c>
      <c r="G17" s="382">
        <v>37774.241000000002</v>
      </c>
      <c r="H17" s="382">
        <v>34278.402999999998</v>
      </c>
      <c r="I17" s="382">
        <v>23527.321</v>
      </c>
      <c r="J17" s="382">
        <v>17970.63</v>
      </c>
      <c r="K17" s="382">
        <v>25650.821</v>
      </c>
      <c r="L17" s="382">
        <v>19420.591</v>
      </c>
      <c r="M17" s="382">
        <v>25804.436000000002</v>
      </c>
      <c r="N17" s="382">
        <f>'[18]Eversource Elect_Table_B'!$M15</f>
        <v>24203.317035275639</v>
      </c>
      <c r="O17" s="382">
        <f>'[18]Eversource Elect_Table_B'!$M42</f>
        <v>17038.991816487778</v>
      </c>
      <c r="P17" s="382">
        <f>'[18]Eversource Elect_Table_B'!$M69</f>
        <v>15756.316195073783</v>
      </c>
      <c r="S17" s="227"/>
      <c r="T17" s="227"/>
      <c r="U17" s="227"/>
    </row>
    <row r="18" spans="1:21" ht="25.5" customHeight="1" thickBot="1" x14ac:dyDescent="0.3">
      <c r="A18" s="29" t="s">
        <v>44</v>
      </c>
      <c r="B18" s="26"/>
      <c r="C18" s="26"/>
      <c r="D18" s="238" t="s">
        <v>160</v>
      </c>
      <c r="E18" s="385">
        <v>56899.082999999999</v>
      </c>
      <c r="F18" s="385">
        <v>82319.293000000005</v>
      </c>
      <c r="G18" s="385">
        <v>101070.446</v>
      </c>
      <c r="H18" s="385">
        <v>118740.97900000001</v>
      </c>
      <c r="I18" s="385">
        <v>86995.391000000003</v>
      </c>
      <c r="J18" s="385">
        <v>96014.967999999993</v>
      </c>
      <c r="K18" s="385">
        <v>126916.628</v>
      </c>
      <c r="L18" s="385">
        <v>101241.823</v>
      </c>
      <c r="M18" s="385">
        <v>100172.152</v>
      </c>
      <c r="N18" s="382">
        <f>'[18]Eversource Elect_Table_B'!$M16</f>
        <v>64845.766996457744</v>
      </c>
      <c r="O18" s="382">
        <f>'[18]Eversource Elect_Table_B'!$M43</f>
        <v>55510.053760489194</v>
      </c>
      <c r="P18" s="382">
        <f>'[18]Eversource Elect_Table_B'!$M70</f>
        <v>54318.862007191063</v>
      </c>
      <c r="S18" s="227"/>
      <c r="T18" s="227"/>
      <c r="U18" s="227"/>
    </row>
    <row r="19" spans="1:21" ht="36.75" thickBot="1" x14ac:dyDescent="0.3">
      <c r="A19" s="29" t="s">
        <v>44</v>
      </c>
      <c r="B19" s="26"/>
      <c r="C19" s="26"/>
      <c r="D19" s="279" t="s">
        <v>411</v>
      </c>
      <c r="E19" s="385">
        <f>4324.709+1947.845</f>
        <v>6272.5540000000001</v>
      </c>
      <c r="F19" s="385">
        <f>11141.415+1671.075</f>
        <v>12812.490000000002</v>
      </c>
      <c r="G19" s="385">
        <f>8511.143+1950.093</f>
        <v>10461.236000000001</v>
      </c>
      <c r="H19" s="385">
        <v>8262.7559999999994</v>
      </c>
      <c r="I19" s="385">
        <v>5490.7569999999996</v>
      </c>
      <c r="J19" s="385">
        <v>8667.768</v>
      </c>
      <c r="K19" s="385">
        <v>5367.009</v>
      </c>
      <c r="L19" s="385">
        <v>2699.8879999999999</v>
      </c>
      <c r="M19" s="385">
        <v>3492.453</v>
      </c>
      <c r="N19" s="382">
        <f>'[18]Eversource Elect_Table_B'!$M17</f>
        <v>9201.8469466452498</v>
      </c>
      <c r="O19" s="382">
        <f>'[18]Eversource Elect_Table_B'!$M44</f>
        <v>8417.3903320606423</v>
      </c>
      <c r="P19" s="382">
        <f>'[18]Eversource Elect_Table_B'!$M71</f>
        <v>9920.6112391438273</v>
      </c>
      <c r="S19" s="227"/>
      <c r="T19" s="227"/>
      <c r="U19" s="227"/>
    </row>
    <row r="20" spans="1:21" ht="21.75" customHeight="1" thickBot="1" x14ac:dyDescent="0.3">
      <c r="A20" s="29" t="s">
        <v>44</v>
      </c>
      <c r="B20" s="26"/>
      <c r="C20" s="26"/>
      <c r="D20" s="238" t="s">
        <v>117</v>
      </c>
      <c r="E20" s="385">
        <v>26800.674999999999</v>
      </c>
      <c r="F20" s="385">
        <v>32546.277999999998</v>
      </c>
      <c r="G20" s="385">
        <v>32587.257000000001</v>
      </c>
      <c r="H20" s="385">
        <v>34602.883999999998</v>
      </c>
      <c r="I20" s="385">
        <v>31576.131000000001</v>
      </c>
      <c r="J20" s="385">
        <v>27586.755000000001</v>
      </c>
      <c r="K20" s="385">
        <v>24819.82</v>
      </c>
      <c r="L20" s="385">
        <v>9789.01</v>
      </c>
      <c r="M20" s="385">
        <v>14580.377</v>
      </c>
      <c r="N20" s="382">
        <f>'[18]Eversource Elect_Table_B'!$M18</f>
        <v>25677.044528383169</v>
      </c>
      <c r="O20" s="382">
        <f>'[18]Eversource Elect_Table_B'!$M45</f>
        <v>19651.376986430645</v>
      </c>
      <c r="P20" s="382">
        <f>'[18]Eversource Elect_Table_B'!$M72</f>
        <v>19523.265804570088</v>
      </c>
      <c r="S20" s="227"/>
      <c r="T20" s="227"/>
      <c r="U20" s="227"/>
    </row>
    <row r="21" spans="1:21" s="1" customFormat="1" ht="18.75" thickBot="1" x14ac:dyDescent="0.3">
      <c r="A21" s="30"/>
      <c r="B21" s="31"/>
      <c r="C21" s="31"/>
      <c r="D21" s="259" t="s">
        <v>277</v>
      </c>
      <c r="E21" s="384">
        <f>SUM(E17:E20)</f>
        <v>128713.03300000001</v>
      </c>
      <c r="F21" s="384">
        <f t="shared" ref="F21:P21" si="3">SUM(F17:F20)</f>
        <v>171100.473</v>
      </c>
      <c r="G21" s="384">
        <f t="shared" si="3"/>
        <v>181893.18000000002</v>
      </c>
      <c r="H21" s="384">
        <f t="shared" si="3"/>
        <v>195885.022</v>
      </c>
      <c r="I21" s="384">
        <f t="shared" si="3"/>
        <v>147589.6</v>
      </c>
      <c r="J21" s="384">
        <f t="shared" si="3"/>
        <v>150240.12099999998</v>
      </c>
      <c r="K21" s="384">
        <f t="shared" si="3"/>
        <v>182754.27799999999</v>
      </c>
      <c r="L21" s="384">
        <f t="shared" si="3"/>
        <v>133151.31200000001</v>
      </c>
      <c r="M21" s="384">
        <f t="shared" si="3"/>
        <v>144049.41800000001</v>
      </c>
      <c r="N21" s="384">
        <f t="shared" si="3"/>
        <v>123927.9755067618</v>
      </c>
      <c r="O21" s="384">
        <f t="shared" si="3"/>
        <v>100617.81289546826</v>
      </c>
      <c r="P21" s="384">
        <f t="shared" si="3"/>
        <v>99519.055245978758</v>
      </c>
      <c r="S21" s="227"/>
      <c r="T21" s="227"/>
      <c r="U21" s="227"/>
    </row>
    <row r="22" spans="1:21" s="7" customFormat="1" ht="18.75" hidden="1" thickBot="1" x14ac:dyDescent="0.3">
      <c r="A22" s="33"/>
      <c r="B22" s="34"/>
      <c r="C22" s="34"/>
      <c r="D22" s="376" t="s">
        <v>25</v>
      </c>
      <c r="E22" s="387">
        <f>E15</f>
        <v>89591.541000000012</v>
      </c>
      <c r="F22" s="387">
        <f t="shared" ref="F22:M22" si="4">F15</f>
        <v>131115.889</v>
      </c>
      <c r="G22" s="387">
        <f t="shared" si="4"/>
        <v>152405.04800000001</v>
      </c>
      <c r="H22" s="387">
        <f t="shared" si="4"/>
        <v>141649.864</v>
      </c>
      <c r="I22" s="387">
        <f t="shared" si="4"/>
        <v>146824.81299999999</v>
      </c>
      <c r="J22" s="387">
        <f t="shared" si="4"/>
        <v>82494.662000000011</v>
      </c>
      <c r="K22" s="387">
        <f t="shared" si="4"/>
        <v>84507.183999999994</v>
      </c>
      <c r="L22" s="387">
        <f t="shared" si="4"/>
        <v>66733.676000000007</v>
      </c>
      <c r="M22" s="387">
        <f t="shared" si="4"/>
        <v>69558.106509999998</v>
      </c>
      <c r="N22" s="387">
        <f t="shared" ref="N22:O22" si="5">N15</f>
        <v>34882.365521690626</v>
      </c>
      <c r="O22" s="387">
        <f t="shared" si="5"/>
        <v>17869.209040299716</v>
      </c>
      <c r="P22" s="387">
        <f t="shared" ref="P22" si="6">P15</f>
        <v>14067.086526610674</v>
      </c>
      <c r="S22" s="227"/>
      <c r="T22" s="227"/>
      <c r="U22" s="227"/>
    </row>
    <row r="23" spans="1:21" s="7" customFormat="1" ht="18.75" hidden="1" thickBot="1" x14ac:dyDescent="0.3">
      <c r="A23" s="33"/>
      <c r="B23" s="34"/>
      <c r="C23" s="34"/>
      <c r="D23" s="376" t="s">
        <v>26</v>
      </c>
      <c r="E23" s="387">
        <f>E21</f>
        <v>128713.03300000001</v>
      </c>
      <c r="F23" s="387">
        <f t="shared" ref="F23:M23" si="7">F21</f>
        <v>171100.473</v>
      </c>
      <c r="G23" s="387">
        <f t="shared" si="7"/>
        <v>181893.18000000002</v>
      </c>
      <c r="H23" s="387">
        <f t="shared" si="7"/>
        <v>195885.022</v>
      </c>
      <c r="I23" s="387">
        <f t="shared" si="7"/>
        <v>147589.6</v>
      </c>
      <c r="J23" s="387">
        <f t="shared" si="7"/>
        <v>150240.12099999998</v>
      </c>
      <c r="K23" s="387">
        <f t="shared" si="7"/>
        <v>182754.27799999999</v>
      </c>
      <c r="L23" s="387">
        <f t="shared" si="7"/>
        <v>133151.31200000001</v>
      </c>
      <c r="M23" s="387">
        <f t="shared" si="7"/>
        <v>144049.41800000001</v>
      </c>
      <c r="N23" s="387">
        <f t="shared" ref="N23:O23" si="8">N21</f>
        <v>123927.9755067618</v>
      </c>
      <c r="O23" s="387">
        <f t="shared" si="8"/>
        <v>100617.81289546826</v>
      </c>
      <c r="P23" s="387">
        <f t="shared" ref="P23" si="9">P21</f>
        <v>99519.055245978758</v>
      </c>
      <c r="S23" s="227"/>
      <c r="T23" s="227"/>
      <c r="U23" s="227"/>
    </row>
    <row r="24" spans="1:21" s="7" customFormat="1" ht="18.75" thickBot="1" x14ac:dyDescent="0.3">
      <c r="A24" s="28"/>
      <c r="B24" s="26"/>
      <c r="C24" s="26"/>
      <c r="D24" s="376" t="s">
        <v>424</v>
      </c>
      <c r="E24" s="384">
        <f>SUM(E22:E23)</f>
        <v>218304.57400000002</v>
      </c>
      <c r="F24" s="384">
        <f t="shared" ref="F24:P24" si="10">SUM(F22:F23)</f>
        <v>302216.36199999996</v>
      </c>
      <c r="G24" s="384">
        <f t="shared" si="10"/>
        <v>334298.228</v>
      </c>
      <c r="H24" s="384">
        <f t="shared" si="10"/>
        <v>337534.886</v>
      </c>
      <c r="I24" s="384">
        <f t="shared" si="10"/>
        <v>294414.413</v>
      </c>
      <c r="J24" s="384">
        <f t="shared" si="10"/>
        <v>232734.783</v>
      </c>
      <c r="K24" s="384">
        <f t="shared" si="10"/>
        <v>267261.462</v>
      </c>
      <c r="L24" s="384">
        <f t="shared" si="10"/>
        <v>199884.98800000001</v>
      </c>
      <c r="M24" s="384">
        <f t="shared" si="10"/>
        <v>213607.52451000002</v>
      </c>
      <c r="N24" s="384">
        <f t="shared" si="10"/>
        <v>158810.34102845241</v>
      </c>
      <c r="O24" s="384">
        <f t="shared" si="10"/>
        <v>118487.02193576797</v>
      </c>
      <c r="P24" s="384">
        <f t="shared" si="10"/>
        <v>113586.14177258943</v>
      </c>
      <c r="S24" s="227"/>
      <c r="T24" s="227"/>
      <c r="U24" s="227"/>
    </row>
    <row r="25" spans="1:21" ht="7.5" customHeight="1" x14ac:dyDescent="0.25">
      <c r="A25" s="35"/>
      <c r="B25" s="35"/>
      <c r="C25" s="35"/>
      <c r="D25" s="66"/>
      <c r="E25" s="11"/>
      <c r="F25" s="11"/>
      <c r="G25" s="11"/>
      <c r="H25" s="11"/>
      <c r="I25" s="11"/>
      <c r="J25" s="11"/>
      <c r="K25" s="11"/>
      <c r="L25" s="11"/>
      <c r="M25" s="11"/>
      <c r="N25" s="11"/>
      <c r="O25" s="11"/>
      <c r="P25" s="11"/>
    </row>
    <row r="26" spans="1:21" ht="15" x14ac:dyDescent="0.25">
      <c r="A26" s="35"/>
      <c r="B26" s="35"/>
      <c r="C26" s="35"/>
      <c r="D26" s="67"/>
      <c r="E26" s="89"/>
      <c r="F26" s="89"/>
      <c r="G26" s="89"/>
      <c r="H26" s="89"/>
      <c r="I26" s="89"/>
      <c r="J26" s="89"/>
      <c r="K26" s="89"/>
      <c r="L26" s="89" t="s">
        <v>13</v>
      </c>
      <c r="M26" s="89"/>
      <c r="N26" s="89"/>
      <c r="O26" s="89"/>
      <c r="P26" s="89"/>
    </row>
    <row r="27" spans="1:21" ht="15.75" x14ac:dyDescent="0.25">
      <c r="A27" s="35"/>
      <c r="B27" s="35"/>
      <c r="C27" s="35"/>
      <c r="D27" s="87"/>
      <c r="E27" s="89"/>
      <c r="F27" s="89"/>
      <c r="G27" s="89"/>
      <c r="H27" s="89"/>
      <c r="I27" s="89"/>
      <c r="J27" s="89"/>
      <c r="K27" s="89"/>
      <c r="L27" s="89"/>
      <c r="M27" s="89"/>
      <c r="N27" s="89"/>
      <c r="O27" s="89"/>
      <c r="P27" s="89"/>
    </row>
    <row r="28" spans="1:21" ht="15.75" x14ac:dyDescent="0.25">
      <c r="A28" s="35"/>
      <c r="B28" s="35"/>
      <c r="C28" s="35"/>
      <c r="D28" s="87"/>
      <c r="E28" s="89"/>
      <c r="F28" s="89"/>
      <c r="G28" s="89"/>
      <c r="H28" s="89"/>
      <c r="I28" s="89"/>
      <c r="J28" s="89"/>
      <c r="K28" s="89"/>
      <c r="L28" s="89"/>
      <c r="M28" s="89"/>
      <c r="N28" s="89"/>
      <c r="O28" s="89"/>
      <c r="P28" s="89"/>
    </row>
    <row r="29" spans="1:21" ht="15.75" x14ac:dyDescent="0.25">
      <c r="A29" s="35"/>
      <c r="B29" s="35"/>
      <c r="C29" s="35"/>
      <c r="D29" s="87"/>
      <c r="E29" s="66"/>
      <c r="F29" s="66"/>
      <c r="G29" s="66"/>
      <c r="H29" s="66"/>
      <c r="I29" s="66"/>
      <c r="J29" s="66"/>
      <c r="K29" s="66"/>
      <c r="L29" s="66"/>
      <c r="M29" s="66"/>
      <c r="N29" s="66"/>
      <c r="O29" s="66"/>
      <c r="P29" s="66"/>
    </row>
    <row r="30" spans="1:21" ht="15.75" x14ac:dyDescent="0.25">
      <c r="A30" s="35"/>
      <c r="B30" s="35"/>
      <c r="C30" s="35"/>
      <c r="D30" s="87"/>
      <c r="E30" s="89"/>
      <c r="F30" s="89"/>
      <c r="G30" s="89"/>
      <c r="H30" s="89"/>
      <c r="I30" s="89"/>
      <c r="J30" s="89"/>
      <c r="K30" s="89"/>
      <c r="L30" s="89"/>
      <c r="M30" s="89"/>
      <c r="N30" s="89"/>
      <c r="O30" s="89"/>
      <c r="P30" s="89"/>
    </row>
    <row r="31" spans="1:21" ht="15.75" x14ac:dyDescent="0.25">
      <c r="A31" s="35"/>
      <c r="B31" s="35"/>
      <c r="C31" s="35"/>
      <c r="D31" s="87"/>
      <c r="E31" s="66"/>
      <c r="F31" s="66"/>
      <c r="G31" s="66"/>
      <c r="H31" s="66"/>
      <c r="I31" s="66"/>
      <c r="J31" s="66"/>
      <c r="K31" s="66"/>
      <c r="L31" s="66"/>
      <c r="M31" s="66"/>
      <c r="N31" s="66"/>
      <c r="O31" s="66"/>
      <c r="P31" s="66"/>
    </row>
    <row r="32" spans="1:21" ht="15.75" x14ac:dyDescent="0.25">
      <c r="A32" s="35"/>
      <c r="B32" s="35"/>
      <c r="C32" s="35"/>
      <c r="D32" s="87"/>
      <c r="E32" s="66"/>
      <c r="F32" s="66"/>
      <c r="G32" s="66"/>
      <c r="H32" s="66"/>
      <c r="I32" s="66"/>
      <c r="J32" s="66"/>
      <c r="K32" s="66"/>
      <c r="L32" s="66"/>
      <c r="M32" s="66"/>
      <c r="N32" s="66"/>
      <c r="O32" s="66"/>
      <c r="P32" s="66"/>
    </row>
    <row r="33" spans="1:16" ht="15.75" x14ac:dyDescent="0.25">
      <c r="A33" s="35"/>
      <c r="B33" s="35"/>
      <c r="C33" s="35"/>
      <c r="D33" s="87"/>
      <c r="E33" s="66"/>
      <c r="F33" s="66"/>
      <c r="G33" s="66"/>
      <c r="H33" s="66"/>
      <c r="I33" s="66"/>
      <c r="J33" s="66"/>
      <c r="K33" s="66"/>
      <c r="L33" s="66"/>
      <c r="M33" s="66"/>
      <c r="N33" s="66"/>
      <c r="O33" s="66"/>
      <c r="P33" s="66"/>
    </row>
    <row r="34" spans="1:16" ht="15.75" x14ac:dyDescent="0.25">
      <c r="A34" s="3"/>
      <c r="B34" s="36"/>
      <c r="C34" s="36"/>
      <c r="D34" s="87"/>
      <c r="E34" s="41"/>
      <c r="F34" s="41"/>
      <c r="G34" s="41"/>
      <c r="H34" s="41"/>
      <c r="I34" s="41"/>
      <c r="J34" s="41"/>
      <c r="K34" s="41"/>
      <c r="L34" s="41"/>
      <c r="M34" s="41"/>
      <c r="N34" s="41"/>
      <c r="O34" s="41"/>
      <c r="P34" s="41"/>
    </row>
    <row r="35" spans="1:16" ht="15.75" x14ac:dyDescent="0.25">
      <c r="A35" s="3"/>
      <c r="B35" s="3"/>
      <c r="C35" s="3"/>
      <c r="D35" s="87"/>
      <c r="E35" s="41"/>
      <c r="F35" s="41"/>
      <c r="G35" s="41"/>
      <c r="H35" s="41"/>
      <c r="I35" s="41"/>
      <c r="J35" s="41"/>
      <c r="K35" s="41"/>
      <c r="L35" s="41"/>
      <c r="M35" s="41"/>
      <c r="N35" s="41"/>
      <c r="O35" s="41"/>
      <c r="P35" s="41"/>
    </row>
    <row r="36" spans="1:16" ht="15" x14ac:dyDescent="0.2">
      <c r="A36" s="3"/>
      <c r="B36" s="3"/>
      <c r="C36" s="3"/>
      <c r="D36" s="2"/>
    </row>
    <row r="37" spans="1:16" ht="15" x14ac:dyDescent="0.2">
      <c r="A37" s="3"/>
      <c r="B37" s="3"/>
      <c r="C37" s="3"/>
      <c r="D37" s="2"/>
    </row>
    <row r="38" spans="1:16" ht="15" x14ac:dyDescent="0.2">
      <c r="A38" s="3"/>
      <c r="B38" s="3"/>
      <c r="C38" s="3"/>
      <c r="D38" s="5"/>
    </row>
    <row r="39" spans="1:16" ht="15" x14ac:dyDescent="0.2">
      <c r="A39" s="3"/>
      <c r="B39" s="3"/>
      <c r="C39" s="3"/>
      <c r="D39" s="5"/>
    </row>
  </sheetData>
  <mergeCells count="5">
    <mergeCell ref="N4:P4"/>
    <mergeCell ref="D2:P2"/>
    <mergeCell ref="D3:P3"/>
    <mergeCell ref="D8:P8"/>
    <mergeCell ref="D16:P16"/>
  </mergeCells>
  <phoneticPr fontId="11" type="noConversion"/>
  <printOptions horizontalCentered="1"/>
  <pageMargins left="0.5" right="0.5" top="0.75" bottom="0.75" header="0.5" footer="0.25"/>
  <pageSetup scale="52"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tabColor theme="9" tint="0.39997558519241921"/>
    <pageSetUpPr fitToPage="1"/>
  </sheetPr>
  <dimension ref="A1:P38"/>
  <sheetViews>
    <sheetView showGridLines="0" topLeftCell="C1" zoomScale="70" zoomScaleNormal="70" workbookViewId="0">
      <pane xSplit="2" topLeftCell="E1" activePane="topRight" state="frozen"/>
      <selection activeCell="C1" sqref="C1"/>
      <selection pane="topRight" activeCell="P11" sqref="P11"/>
    </sheetView>
  </sheetViews>
  <sheetFormatPr defaultRowHeight="12.75" x14ac:dyDescent="0.2"/>
  <cols>
    <col min="1" max="1" width="4" hidden="1" customWidth="1"/>
    <col min="2" max="2" width="3.7109375" hidden="1" customWidth="1"/>
    <col min="3" max="3" width="3.7109375" customWidth="1"/>
    <col min="4" max="4" width="70" customWidth="1"/>
    <col min="5" max="5" width="14.7109375" hidden="1" customWidth="1"/>
    <col min="6" max="8" width="14.7109375" customWidth="1"/>
    <col min="9" max="9" width="17.5703125" bestFit="1" customWidth="1"/>
    <col min="10" max="16" width="14.7109375" customWidth="1"/>
  </cols>
  <sheetData>
    <row r="1" spans="1:16" x14ac:dyDescent="0.2">
      <c r="E1" s="4"/>
      <c r="F1" s="4"/>
      <c r="G1" s="4"/>
      <c r="H1" s="4"/>
      <c r="I1" s="4"/>
      <c r="J1" s="4"/>
      <c r="K1" s="4"/>
      <c r="L1" s="4"/>
      <c r="M1" s="4"/>
      <c r="N1" s="4"/>
      <c r="O1" s="4"/>
      <c r="P1" s="4"/>
    </row>
    <row r="2" spans="1:16" ht="21" customHeight="1" x14ac:dyDescent="0.35">
      <c r="A2" s="4"/>
      <c r="B2" s="4"/>
      <c r="C2" s="4"/>
      <c r="D2" s="869" t="s">
        <v>149</v>
      </c>
      <c r="E2" s="869"/>
      <c r="F2" s="869"/>
      <c r="G2" s="869"/>
      <c r="H2" s="869"/>
      <c r="I2" s="869"/>
      <c r="J2" s="869"/>
      <c r="K2" s="869"/>
      <c r="L2" s="869"/>
      <c r="M2" s="869"/>
      <c r="N2" s="955"/>
      <c r="O2" s="955"/>
      <c r="P2" s="955"/>
    </row>
    <row r="3" spans="1:16" ht="24" customHeight="1" x14ac:dyDescent="0.35">
      <c r="A3" s="4"/>
      <c r="B3" s="23"/>
      <c r="C3" s="23"/>
      <c r="D3" s="950" t="s">
        <v>337</v>
      </c>
      <c r="E3" s="950"/>
      <c r="F3" s="950"/>
      <c r="G3" s="950"/>
      <c r="H3" s="950"/>
      <c r="I3" s="950"/>
      <c r="J3" s="950"/>
      <c r="K3" s="950"/>
      <c r="L3" s="950"/>
      <c r="M3" s="950"/>
      <c r="N3" s="955"/>
      <c r="O3" s="955"/>
      <c r="P3" s="955"/>
    </row>
    <row r="4" spans="1:16" ht="24" customHeight="1" thickBot="1" x14ac:dyDescent="0.3">
      <c r="A4" s="4"/>
      <c r="D4" s="358"/>
      <c r="E4" s="287" t="s">
        <v>13</v>
      </c>
      <c r="F4" s="287" t="s">
        <v>13</v>
      </c>
      <c r="G4" s="287" t="s">
        <v>13</v>
      </c>
      <c r="H4" s="287" t="s">
        <v>13</v>
      </c>
      <c r="I4" s="287" t="s">
        <v>13</v>
      </c>
      <c r="J4" s="287" t="s">
        <v>13</v>
      </c>
      <c r="K4" s="287"/>
      <c r="L4" s="287"/>
      <c r="M4" s="287"/>
      <c r="N4" s="953"/>
      <c r="O4" s="954"/>
      <c r="P4" s="954"/>
    </row>
    <row r="5" spans="1:16" ht="23.25" customHeight="1" x14ac:dyDescent="0.25">
      <c r="A5" s="4"/>
      <c r="B5" s="23"/>
      <c r="C5" s="23"/>
      <c r="D5" s="250"/>
      <c r="E5" s="250">
        <v>2013</v>
      </c>
      <c r="F5" s="250">
        <v>2014</v>
      </c>
      <c r="G5" s="250">
        <v>2015</v>
      </c>
      <c r="H5" s="250">
        <v>2016</v>
      </c>
      <c r="I5" s="250">
        <v>2017</v>
      </c>
      <c r="J5" s="250">
        <v>2018</v>
      </c>
      <c r="K5" s="250">
        <v>2019</v>
      </c>
      <c r="L5" s="250">
        <v>2020</v>
      </c>
      <c r="M5" s="250">
        <v>2021</v>
      </c>
      <c r="N5" s="250">
        <v>2022</v>
      </c>
      <c r="O5" s="250">
        <v>2023</v>
      </c>
      <c r="P5" s="250">
        <v>2024</v>
      </c>
    </row>
    <row r="6" spans="1:16" ht="22.5" customHeight="1" thickBot="1" x14ac:dyDescent="0.3">
      <c r="A6" s="15"/>
      <c r="B6" s="15"/>
      <c r="C6" s="15"/>
      <c r="D6" s="390"/>
      <c r="E6" s="391" t="s">
        <v>98</v>
      </c>
      <c r="F6" s="391" t="s">
        <v>98</v>
      </c>
      <c r="G6" s="391" t="s">
        <v>98</v>
      </c>
      <c r="H6" s="391" t="s">
        <v>98</v>
      </c>
      <c r="I6" s="391" t="s">
        <v>98</v>
      </c>
      <c r="J6" s="391" t="s">
        <v>98</v>
      </c>
      <c r="K6" s="391" t="s">
        <v>98</v>
      </c>
      <c r="L6" s="391" t="s">
        <v>98</v>
      </c>
      <c r="M6" s="391" t="s">
        <v>98</v>
      </c>
      <c r="N6" s="391" t="s">
        <v>269</v>
      </c>
      <c r="O6" s="391" t="s">
        <v>269</v>
      </c>
      <c r="P6" s="391" t="s">
        <v>269</v>
      </c>
    </row>
    <row r="7" spans="1:16" ht="30.75" customHeight="1" thickBot="1" x14ac:dyDescent="0.3">
      <c r="A7" s="15"/>
      <c r="B7" s="15"/>
      <c r="C7" s="15"/>
      <c r="D7" s="857" t="s">
        <v>15</v>
      </c>
      <c r="E7" s="857"/>
      <c r="F7" s="857"/>
      <c r="G7" s="857"/>
      <c r="H7" s="857"/>
      <c r="I7" s="857"/>
      <c r="J7" s="857"/>
      <c r="K7" s="857"/>
      <c r="L7" s="857"/>
      <c r="M7" s="857"/>
      <c r="N7" s="952"/>
      <c r="O7" s="952"/>
      <c r="P7" s="952"/>
    </row>
    <row r="8" spans="1:16" s="7" customFormat="1" ht="24" customHeight="1" thickBot="1" x14ac:dyDescent="0.3">
      <c r="A8" s="24" t="s">
        <v>43</v>
      </c>
      <c r="B8" s="25"/>
      <c r="C8" s="25"/>
      <c r="D8" s="238" t="s">
        <v>162</v>
      </c>
      <c r="E8" s="385">
        <v>398800.05300000001</v>
      </c>
      <c r="F8" s="385">
        <v>565646.97600000002</v>
      </c>
      <c r="G8" s="385">
        <v>654001.41399999999</v>
      </c>
      <c r="H8" s="385">
        <v>934999.09299999999</v>
      </c>
      <c r="I8" s="385">
        <v>611161.53899999999</v>
      </c>
      <c r="J8" s="385">
        <v>148049.774</v>
      </c>
      <c r="K8" s="385">
        <v>189376.81200000001</v>
      </c>
      <c r="L8" s="385">
        <v>177883.72500000001</v>
      </c>
      <c r="M8" s="385">
        <v>148666.91565000001</v>
      </c>
      <c r="N8" s="385">
        <f>'[18]Eversource Elect_Table_B'!$N7</f>
        <v>57755.24339629391</v>
      </c>
      <c r="O8" s="385">
        <f>'[18]Eversource Elect_Table_B'!$N34</f>
        <v>60395.174542057153</v>
      </c>
      <c r="P8" s="385">
        <f>'[18]Eversource Elect_Table_B'!$N61</f>
        <v>54206.241104304077</v>
      </c>
    </row>
    <row r="9" spans="1:16" s="1" customFormat="1" ht="26.25" customHeight="1" thickBot="1" x14ac:dyDescent="0.3">
      <c r="A9" s="24" t="s">
        <v>43</v>
      </c>
      <c r="B9" s="25"/>
      <c r="C9" s="25"/>
      <c r="D9" s="243" t="s">
        <v>166</v>
      </c>
      <c r="E9" s="385">
        <v>31174.875</v>
      </c>
      <c r="F9" s="385">
        <v>43056.034</v>
      </c>
      <c r="G9" s="385">
        <v>57174.78</v>
      </c>
      <c r="H9" s="385">
        <v>39977.249000000003</v>
      </c>
      <c r="I9" s="385">
        <v>50861.527000000002</v>
      </c>
      <c r="J9" s="385">
        <v>35839.235999999997</v>
      </c>
      <c r="K9" s="385">
        <v>59611.553</v>
      </c>
      <c r="L9" s="385">
        <v>95362.823000000004</v>
      </c>
      <c r="M9" s="385">
        <v>64967.396000000001</v>
      </c>
      <c r="N9" s="385">
        <f>'[18]Eversource Elect_Table_B'!$N8</f>
        <v>64402.48684883026</v>
      </c>
      <c r="O9" s="385">
        <f>'[18]Eversource Elect_Table_B'!$N35</f>
        <v>54107.385948272917</v>
      </c>
      <c r="P9" s="385">
        <f>'[18]Eversource Elect_Table_B'!$N62</f>
        <v>51704.087011714975</v>
      </c>
    </row>
    <row r="10" spans="1:16" s="1" customFormat="1" ht="40.5" customHeight="1" thickBot="1" x14ac:dyDescent="0.3">
      <c r="A10" s="24" t="s">
        <v>43</v>
      </c>
      <c r="B10" s="25"/>
      <c r="C10" s="25"/>
      <c r="D10" s="279" t="s">
        <v>419</v>
      </c>
      <c r="E10" s="385">
        <v>171659.932</v>
      </c>
      <c r="F10" s="385">
        <v>284192.61900000001</v>
      </c>
      <c r="G10" s="385">
        <v>267677.31599999999</v>
      </c>
      <c r="H10" s="385">
        <v>188785.337</v>
      </c>
      <c r="I10" s="385">
        <v>198162.63200000001</v>
      </c>
      <c r="J10" s="385">
        <v>130727.818</v>
      </c>
      <c r="K10" s="385">
        <v>172669.867</v>
      </c>
      <c r="L10" s="385">
        <v>111314.23</v>
      </c>
      <c r="M10" s="385">
        <v>142724.41794000001</v>
      </c>
      <c r="N10" s="385">
        <f>'[18]Eversource Elect_Table_B'!$N9</f>
        <v>90952.856920333084</v>
      </c>
      <c r="O10" s="385">
        <f>'[18]Eversource Elect_Table_B'!$N36</f>
        <v>54469.555471267631</v>
      </c>
      <c r="P10" s="385">
        <f>'[18]Eversource Elect_Table_B'!$N63</f>
        <v>56113.249201680534</v>
      </c>
    </row>
    <row r="11" spans="1:16" s="1" customFormat="1" ht="18.75" thickBot="1" x14ac:dyDescent="0.3">
      <c r="A11" s="24"/>
      <c r="B11" s="25"/>
      <c r="C11" s="25"/>
      <c r="D11" s="279" t="s">
        <v>520</v>
      </c>
      <c r="E11" s="385">
        <v>0</v>
      </c>
      <c r="F11" s="385">
        <v>0</v>
      </c>
      <c r="G11" s="385">
        <v>0</v>
      </c>
      <c r="H11" s="385">
        <v>108422.82399999999</v>
      </c>
      <c r="I11" s="385">
        <v>204515.62700000001</v>
      </c>
      <c r="J11" s="385">
        <v>118555.243</v>
      </c>
      <c r="K11" s="385">
        <v>60025.853999999999</v>
      </c>
      <c r="L11" s="385">
        <v>77264.062000000005</v>
      </c>
      <c r="M11" s="385">
        <v>98518.330679999999</v>
      </c>
      <c r="N11" s="385">
        <f>'[18]Eversource Elect_Table_B'!$N10</f>
        <v>107282.1581903468</v>
      </c>
      <c r="O11" s="385">
        <f>'[18]Eversource Elect_Table_B'!$N37</f>
        <v>-3033.4461816952798</v>
      </c>
      <c r="P11" s="385">
        <f>'[18]Eversource Elect_Table_B'!$N64</f>
        <v>-48525.122280474119</v>
      </c>
    </row>
    <row r="12" spans="1:16" ht="21.75" customHeight="1" thickBot="1" x14ac:dyDescent="0.3">
      <c r="A12" s="27" t="s">
        <v>43</v>
      </c>
      <c r="B12" s="26"/>
      <c r="C12" s="26"/>
      <c r="D12" s="238" t="s">
        <v>276</v>
      </c>
      <c r="E12" s="385">
        <v>113221.696</v>
      </c>
      <c r="F12" s="385">
        <v>150564.94500000001</v>
      </c>
      <c r="G12" s="385">
        <v>166350.83799999999</v>
      </c>
      <c r="H12" s="385">
        <v>193411.93100000001</v>
      </c>
      <c r="I12" s="385">
        <v>205100.913</v>
      </c>
      <c r="J12" s="385">
        <v>149349.83499999999</v>
      </c>
      <c r="K12" s="385">
        <v>117678.31299999999</v>
      </c>
      <c r="L12" s="385">
        <v>79854.892000000007</v>
      </c>
      <c r="M12" s="385">
        <v>81581.823000000004</v>
      </c>
      <c r="N12" s="385">
        <f>'[18]Eversource Elect_Table_B'!$N11</f>
        <v>38116.143217555509</v>
      </c>
      <c r="O12" s="385">
        <f>'[18]Eversource Elect_Table_B'!$N38</f>
        <v>29679.06694709299</v>
      </c>
      <c r="P12" s="385">
        <f>'[18]Eversource Elect_Table_B'!$N65</f>
        <v>28405.784203310304</v>
      </c>
    </row>
    <row r="13" spans="1:16" ht="24" customHeight="1" thickBot="1" x14ac:dyDescent="0.3">
      <c r="A13" s="27"/>
      <c r="B13" s="26"/>
      <c r="C13" s="26"/>
      <c r="D13" s="238" t="s">
        <v>145</v>
      </c>
      <c r="E13" s="385">
        <v>0</v>
      </c>
      <c r="F13" s="385">
        <v>57855.675000000003</v>
      </c>
      <c r="G13" s="385">
        <v>96932.985000000001</v>
      </c>
      <c r="H13" s="385">
        <v>45115.618000000002</v>
      </c>
      <c r="I13" s="385">
        <v>45115.617619999997</v>
      </c>
      <c r="J13" s="385">
        <v>56743</v>
      </c>
      <c r="K13" s="385">
        <v>31298.319</v>
      </c>
      <c r="L13" s="385">
        <f>[19]EE_Table_B!$N38</f>
        <v>0</v>
      </c>
      <c r="M13" s="385">
        <v>0</v>
      </c>
      <c r="N13" s="385">
        <f>'[18]Eversource Elect_Table_B'!$N12</f>
        <v>715</v>
      </c>
      <c r="O13" s="385">
        <f>'[18]Eversource Elect_Table_B'!$N39</f>
        <v>1430</v>
      </c>
      <c r="P13" s="385">
        <f>'[18]Eversource Elect_Table_B'!$N66</f>
        <v>1430</v>
      </c>
    </row>
    <row r="14" spans="1:16" ht="21" customHeight="1" thickBot="1" x14ac:dyDescent="0.3">
      <c r="A14" s="26"/>
      <c r="B14" s="26"/>
      <c r="C14" s="26"/>
      <c r="D14" s="245" t="s">
        <v>291</v>
      </c>
      <c r="E14" s="384">
        <f t="shared" ref="E14:M14" si="0">SUM(E8:E13)</f>
        <v>714856.55599999998</v>
      </c>
      <c r="F14" s="384">
        <f t="shared" si="0"/>
        <v>1101316.2490000001</v>
      </c>
      <c r="G14" s="384">
        <f t="shared" si="0"/>
        <v>1242137.3330000001</v>
      </c>
      <c r="H14" s="384">
        <f t="shared" si="0"/>
        <v>1510712.0520000001</v>
      </c>
      <c r="I14" s="384">
        <f t="shared" si="0"/>
        <v>1314917.8556199998</v>
      </c>
      <c r="J14" s="384">
        <f t="shared" si="0"/>
        <v>639264.90599999996</v>
      </c>
      <c r="K14" s="384">
        <f t="shared" si="0"/>
        <v>630660.71799999999</v>
      </c>
      <c r="L14" s="384">
        <f t="shared" si="0"/>
        <v>541679.73199999996</v>
      </c>
      <c r="M14" s="384">
        <f t="shared" si="0"/>
        <v>536458.88326999999</v>
      </c>
      <c r="N14" s="384">
        <f t="shared" ref="N14:O14" si="1">SUM(N8:N13)</f>
        <v>359223.88857335958</v>
      </c>
      <c r="O14" s="384">
        <f t="shared" si="1"/>
        <v>197047.73672699544</v>
      </c>
      <c r="P14" s="384">
        <f t="shared" ref="P14" si="2">SUM(P8:P13)</f>
        <v>143334.23924053577</v>
      </c>
    </row>
    <row r="15" spans="1:16" ht="22.5" customHeight="1" thickBot="1" x14ac:dyDescent="0.3">
      <c r="A15" s="28"/>
      <c r="B15" s="26"/>
      <c r="C15" s="26"/>
      <c r="D15" s="956" t="s">
        <v>16</v>
      </c>
      <c r="E15" s="956"/>
      <c r="F15" s="956"/>
      <c r="G15" s="956"/>
      <c r="H15" s="956"/>
      <c r="I15" s="956"/>
      <c r="J15" s="956"/>
      <c r="K15" s="956"/>
      <c r="L15" s="956"/>
      <c r="M15" s="956"/>
      <c r="N15" s="952"/>
      <c r="O15" s="952"/>
      <c r="P15" s="952"/>
    </row>
    <row r="16" spans="1:16" ht="18.75" thickBot="1" x14ac:dyDescent="0.3">
      <c r="A16" s="29" t="s">
        <v>44</v>
      </c>
      <c r="B16" s="26"/>
      <c r="C16" s="26"/>
      <c r="D16" s="238" t="s">
        <v>159</v>
      </c>
      <c r="E16" s="385">
        <v>596825.54799999995</v>
      </c>
      <c r="F16" s="385">
        <v>667358.16200000001</v>
      </c>
      <c r="G16" s="385">
        <v>572756.73899999994</v>
      </c>
      <c r="H16" s="385">
        <v>520576.03700000001</v>
      </c>
      <c r="I16" s="385">
        <v>348322.66600000003</v>
      </c>
      <c r="J16" s="385">
        <v>273279.53700000001</v>
      </c>
      <c r="K16" s="385">
        <v>389538.14600000001</v>
      </c>
      <c r="L16" s="385">
        <v>286879.84000000003</v>
      </c>
      <c r="M16" s="385">
        <v>377999.87276</v>
      </c>
      <c r="N16" s="385">
        <f>'[18]Eversource Elect_Table_B'!$N15</f>
        <v>336720.95261510822</v>
      </c>
      <c r="O16" s="385">
        <f>'[18]Eversource Elect_Table_B'!$N42</f>
        <v>239121.25542095175</v>
      </c>
      <c r="P16" s="385">
        <f>'[18]Eversource Elect_Table_B'!$N69</f>
        <v>221293.01745361579</v>
      </c>
    </row>
    <row r="17" spans="1:16" ht="21.75" customHeight="1" thickBot="1" x14ac:dyDescent="0.3">
      <c r="A17" s="29" t="s">
        <v>44</v>
      </c>
      <c r="B17" s="26"/>
      <c r="C17" s="26"/>
      <c r="D17" s="238" t="s">
        <v>160</v>
      </c>
      <c r="E17" s="385">
        <v>672470.43299999996</v>
      </c>
      <c r="F17" s="385">
        <v>953547.02399999998</v>
      </c>
      <c r="G17" s="385">
        <v>1142215.9669999999</v>
      </c>
      <c r="H17" s="385">
        <v>1354016.936</v>
      </c>
      <c r="I17" s="385">
        <v>986891.125</v>
      </c>
      <c r="J17" s="385">
        <v>1127698.5449999999</v>
      </c>
      <c r="K17" s="385">
        <v>1442039.483</v>
      </c>
      <c r="L17" s="385">
        <v>1121624.5349999999</v>
      </c>
      <c r="M17" s="385">
        <v>1109969.77859</v>
      </c>
      <c r="N17" s="385">
        <f>'[18]Eversource Elect_Table_B'!$N16</f>
        <v>462627.45744859753</v>
      </c>
      <c r="O17" s="385">
        <f>'[18]Eversource Elect_Table_B'!$N43</f>
        <v>400200.16546696279</v>
      </c>
      <c r="P17" s="385">
        <f>'[18]Eversource Elect_Table_B'!$N70</f>
        <v>405545.50445728586</v>
      </c>
    </row>
    <row r="18" spans="1:16" ht="41.25" customHeight="1" thickBot="1" x14ac:dyDescent="0.3">
      <c r="A18" s="29" t="s">
        <v>44</v>
      </c>
      <c r="B18" s="26"/>
      <c r="C18" s="26"/>
      <c r="D18" s="279" t="s">
        <v>418</v>
      </c>
      <c r="E18" s="385">
        <f>36510.373+9739.229</f>
        <v>46249.601999999999</v>
      </c>
      <c r="F18" s="385">
        <f>83563.972+8355.363</f>
        <v>91919.334999999992</v>
      </c>
      <c r="G18" s="385">
        <f>53438.247+9750.509</f>
        <v>63188.756000000001</v>
      </c>
      <c r="H18" s="385">
        <v>51663.023999999998</v>
      </c>
      <c r="I18" s="385">
        <v>30085.300999999999</v>
      </c>
      <c r="J18" s="385">
        <v>44464.832000000002</v>
      </c>
      <c r="K18" s="385">
        <v>31087.48</v>
      </c>
      <c r="L18" s="385">
        <v>17138.516</v>
      </c>
      <c r="M18" s="385">
        <v>21032.71155</v>
      </c>
      <c r="N18" s="385">
        <f>'[18]Eversource Elect_Table_B'!$N17</f>
        <v>69172.428016469275</v>
      </c>
      <c r="O18" s="385">
        <f>'[18]Eversource Elect_Table_B'!$N44</f>
        <v>63275.484824626692</v>
      </c>
      <c r="P18" s="385">
        <f>'[18]Eversource Elect_Table_B'!$N71</f>
        <v>74575.546713394826</v>
      </c>
    </row>
    <row r="19" spans="1:16" ht="18.75" thickBot="1" x14ac:dyDescent="0.3">
      <c r="A19" s="29" t="s">
        <v>44</v>
      </c>
      <c r="B19" s="26"/>
      <c r="C19" s="26"/>
      <c r="D19" s="238" t="s">
        <v>117</v>
      </c>
      <c r="E19" s="385">
        <v>325003.65600000002</v>
      </c>
      <c r="F19" s="385">
        <v>396811.96299999999</v>
      </c>
      <c r="G19" s="385">
        <v>404003.3</v>
      </c>
      <c r="H19" s="385">
        <v>433415.88</v>
      </c>
      <c r="I19" s="385">
        <v>393552.55099999998</v>
      </c>
      <c r="J19" s="385">
        <v>341246.35700000002</v>
      </c>
      <c r="K19" s="385">
        <v>311798.03999999998</v>
      </c>
      <c r="L19" s="385">
        <v>114577.33100000001</v>
      </c>
      <c r="M19" s="385">
        <v>165833.04199999999</v>
      </c>
      <c r="N19" s="385">
        <f>'[18]Eversource Elect_Table_B'!$N18</f>
        <v>203698.10003805702</v>
      </c>
      <c r="O19" s="385">
        <f>'[18]Eversource Elect_Table_B'!$N45</f>
        <v>156714.68980461912</v>
      </c>
      <c r="P19" s="385">
        <f>'[18]Eversource Elect_Table_B'!$N72</f>
        <v>157339.25668546758</v>
      </c>
    </row>
    <row r="20" spans="1:16" s="1" customFormat="1" ht="18.75" thickBot="1" x14ac:dyDescent="0.3">
      <c r="A20" s="30"/>
      <c r="B20" s="31"/>
      <c r="C20" s="31"/>
      <c r="D20" s="259" t="s">
        <v>277</v>
      </c>
      <c r="E20" s="384">
        <f t="shared" ref="E20:P20" si="3">SUM(E16:E19)</f>
        <v>1640549.2389999998</v>
      </c>
      <c r="F20" s="384">
        <f t="shared" si="3"/>
        <v>2109636.4840000002</v>
      </c>
      <c r="G20" s="384">
        <f t="shared" si="3"/>
        <v>2182164.7619999996</v>
      </c>
      <c r="H20" s="384">
        <f t="shared" si="3"/>
        <v>2359671.8769999999</v>
      </c>
      <c r="I20" s="384">
        <f t="shared" si="3"/>
        <v>1758851.6429999999</v>
      </c>
      <c r="J20" s="384">
        <f t="shared" si="3"/>
        <v>1786689.2709999999</v>
      </c>
      <c r="K20" s="384">
        <f t="shared" si="3"/>
        <v>2174463.1489999997</v>
      </c>
      <c r="L20" s="384">
        <f t="shared" si="3"/>
        <v>1540220.2220000001</v>
      </c>
      <c r="M20" s="384">
        <f t="shared" si="3"/>
        <v>1674835.4048999997</v>
      </c>
      <c r="N20" s="384">
        <f t="shared" si="3"/>
        <v>1072218.9381182319</v>
      </c>
      <c r="O20" s="384">
        <f t="shared" si="3"/>
        <v>859311.59551716037</v>
      </c>
      <c r="P20" s="384">
        <f t="shared" si="3"/>
        <v>858753.32530976401</v>
      </c>
    </row>
    <row r="21" spans="1:16" s="7" customFormat="1" ht="18.75" hidden="1" thickBot="1" x14ac:dyDescent="0.3">
      <c r="A21" s="33"/>
      <c r="B21" s="34"/>
      <c r="C21" s="34"/>
      <c r="D21" s="376" t="s">
        <v>25</v>
      </c>
      <c r="E21" s="387">
        <f t="shared" ref="E21:M21" si="4">E14</f>
        <v>714856.55599999998</v>
      </c>
      <c r="F21" s="387">
        <f t="shared" si="4"/>
        <v>1101316.2490000001</v>
      </c>
      <c r="G21" s="387">
        <f t="shared" si="4"/>
        <v>1242137.3330000001</v>
      </c>
      <c r="H21" s="387">
        <f t="shared" si="4"/>
        <v>1510712.0520000001</v>
      </c>
      <c r="I21" s="387">
        <f t="shared" si="4"/>
        <v>1314917.8556199998</v>
      </c>
      <c r="J21" s="387">
        <f t="shared" si="4"/>
        <v>639264.90599999996</v>
      </c>
      <c r="K21" s="387">
        <f t="shared" si="4"/>
        <v>630660.71799999999</v>
      </c>
      <c r="L21" s="387">
        <f t="shared" si="4"/>
        <v>541679.73199999996</v>
      </c>
      <c r="M21" s="387">
        <f t="shared" si="4"/>
        <v>536458.88326999999</v>
      </c>
      <c r="N21" s="387">
        <f t="shared" ref="N21:O21" si="5">N14</f>
        <v>359223.88857335958</v>
      </c>
      <c r="O21" s="387">
        <f t="shared" si="5"/>
        <v>197047.73672699544</v>
      </c>
      <c r="P21" s="387">
        <f t="shared" ref="P21" si="6">P14</f>
        <v>143334.23924053577</v>
      </c>
    </row>
    <row r="22" spans="1:16" s="7" customFormat="1" ht="18.75" hidden="1" thickBot="1" x14ac:dyDescent="0.3">
      <c r="A22" s="33"/>
      <c r="B22" s="34"/>
      <c r="C22" s="34"/>
      <c r="D22" s="376" t="s">
        <v>26</v>
      </c>
      <c r="E22" s="387">
        <f t="shared" ref="E22:M22" si="7">E20</f>
        <v>1640549.2389999998</v>
      </c>
      <c r="F22" s="387">
        <f t="shared" si="7"/>
        <v>2109636.4840000002</v>
      </c>
      <c r="G22" s="387">
        <f t="shared" si="7"/>
        <v>2182164.7619999996</v>
      </c>
      <c r="H22" s="387">
        <f t="shared" si="7"/>
        <v>2359671.8769999999</v>
      </c>
      <c r="I22" s="387">
        <f t="shared" si="7"/>
        <v>1758851.6429999999</v>
      </c>
      <c r="J22" s="387">
        <f t="shared" si="7"/>
        <v>1786689.2709999999</v>
      </c>
      <c r="K22" s="387">
        <f t="shared" si="7"/>
        <v>2174463.1489999997</v>
      </c>
      <c r="L22" s="387">
        <f t="shared" si="7"/>
        <v>1540220.2220000001</v>
      </c>
      <c r="M22" s="387">
        <f t="shared" si="7"/>
        <v>1674835.4048999997</v>
      </c>
      <c r="N22" s="387">
        <f t="shared" ref="N22:O22" si="8">N20</f>
        <v>1072218.9381182319</v>
      </c>
      <c r="O22" s="387">
        <f t="shared" si="8"/>
        <v>859311.59551716037</v>
      </c>
      <c r="P22" s="387">
        <f t="shared" ref="P22" si="9">P20</f>
        <v>858753.32530976401</v>
      </c>
    </row>
    <row r="23" spans="1:16" s="7" customFormat="1" ht="18.75" thickBot="1" x14ac:dyDescent="0.3">
      <c r="A23" s="28"/>
      <c r="B23" s="26"/>
      <c r="C23" s="26"/>
      <c r="D23" s="376" t="s">
        <v>425</v>
      </c>
      <c r="E23" s="384">
        <f t="shared" ref="E23:P23" si="10">SUM(E21:E22)</f>
        <v>2355405.7949999999</v>
      </c>
      <c r="F23" s="384">
        <f t="shared" si="10"/>
        <v>3210952.733</v>
      </c>
      <c r="G23" s="384">
        <f t="shared" si="10"/>
        <v>3424302.0949999997</v>
      </c>
      <c r="H23" s="384">
        <f t="shared" si="10"/>
        <v>3870383.929</v>
      </c>
      <c r="I23" s="384">
        <f t="shared" si="10"/>
        <v>3073769.4986199997</v>
      </c>
      <c r="J23" s="384">
        <f t="shared" si="10"/>
        <v>2425954.1770000001</v>
      </c>
      <c r="K23" s="384">
        <f t="shared" si="10"/>
        <v>2805123.8669999996</v>
      </c>
      <c r="L23" s="384">
        <f t="shared" si="10"/>
        <v>2081899.9539999999</v>
      </c>
      <c r="M23" s="384">
        <f t="shared" si="10"/>
        <v>2211294.2881699996</v>
      </c>
      <c r="N23" s="384">
        <f t="shared" si="10"/>
        <v>1431442.8266915916</v>
      </c>
      <c r="O23" s="384">
        <f t="shared" si="10"/>
        <v>1056359.3322441559</v>
      </c>
      <c r="P23" s="384">
        <f t="shared" si="10"/>
        <v>1002087.5645502998</v>
      </c>
    </row>
    <row r="24" spans="1:16" ht="7.5" customHeight="1" x14ac:dyDescent="0.25">
      <c r="A24" s="35"/>
      <c r="B24" s="35"/>
      <c r="C24" s="35"/>
      <c r="D24" s="66"/>
      <c r="E24" s="11"/>
      <c r="F24" s="11"/>
      <c r="G24" s="11"/>
      <c r="H24" s="11"/>
      <c r="I24" s="11"/>
      <c r="J24" s="11"/>
      <c r="K24" s="11"/>
      <c r="L24" s="11"/>
      <c r="M24" s="11"/>
      <c r="N24" s="11"/>
      <c r="O24" s="11"/>
      <c r="P24" s="11"/>
    </row>
    <row r="25" spans="1:16" ht="15" x14ac:dyDescent="0.25">
      <c r="A25" s="35"/>
      <c r="B25" s="35"/>
      <c r="C25" s="35"/>
      <c r="D25" s="67"/>
      <c r="E25" s="66"/>
      <c r="F25" s="66"/>
      <c r="G25" s="66"/>
      <c r="H25" s="66"/>
      <c r="I25" s="66"/>
      <c r="J25" s="66"/>
      <c r="K25" s="66"/>
      <c r="L25" s="66" t="s">
        <v>13</v>
      </c>
      <c r="M25" s="66"/>
      <c r="N25" s="66"/>
      <c r="O25" s="66"/>
      <c r="P25" s="66"/>
    </row>
    <row r="26" spans="1:16" ht="15.75" x14ac:dyDescent="0.25">
      <c r="A26" s="35"/>
      <c r="B26" s="35"/>
      <c r="C26" s="35"/>
      <c r="D26" s="87"/>
      <c r="E26" s="66"/>
      <c r="F26" s="66"/>
      <c r="G26" s="66"/>
      <c r="H26" s="66"/>
      <c r="I26" s="66"/>
      <c r="J26" s="66"/>
      <c r="K26" s="66"/>
      <c r="L26" s="66"/>
      <c r="M26" s="66"/>
      <c r="N26" s="66"/>
      <c r="O26" s="66"/>
      <c r="P26" s="66"/>
    </row>
    <row r="27" spans="1:16" ht="15.75" x14ac:dyDescent="0.25">
      <c r="A27" s="35"/>
      <c r="B27" s="35"/>
      <c r="C27" s="35"/>
      <c r="D27" s="87"/>
      <c r="E27" s="66"/>
      <c r="F27" s="66"/>
      <c r="G27" s="66"/>
      <c r="H27" s="66"/>
      <c r="I27" s="66"/>
      <c r="J27" s="66"/>
      <c r="K27" s="66"/>
      <c r="L27" s="66"/>
      <c r="M27" s="66"/>
      <c r="N27" s="66"/>
      <c r="O27" s="66"/>
      <c r="P27" s="66"/>
    </row>
    <row r="28" spans="1:16" ht="15.75" x14ac:dyDescent="0.25">
      <c r="A28" s="35"/>
      <c r="B28" s="35"/>
      <c r="C28" s="35"/>
      <c r="D28" s="87"/>
      <c r="E28" s="66"/>
      <c r="F28" s="66"/>
      <c r="G28" s="66"/>
      <c r="H28" s="66"/>
      <c r="I28" s="66"/>
      <c r="J28" s="66"/>
      <c r="K28" s="66"/>
      <c r="L28" s="66"/>
      <c r="M28" s="66"/>
      <c r="N28" s="66"/>
      <c r="O28" s="66"/>
      <c r="P28" s="66"/>
    </row>
    <row r="29" spans="1:16" ht="15.75" x14ac:dyDescent="0.25">
      <c r="A29" s="35"/>
      <c r="B29" s="35"/>
      <c r="C29" s="35"/>
      <c r="D29" s="87"/>
      <c r="E29" s="66"/>
      <c r="F29" s="66"/>
      <c r="G29" s="66"/>
      <c r="H29" s="66"/>
      <c r="I29" s="66"/>
      <c r="J29" s="66"/>
      <c r="K29" s="66"/>
      <c r="L29" s="66"/>
      <c r="M29" s="66"/>
      <c r="N29" s="66"/>
      <c r="O29" s="66"/>
      <c r="P29" s="66"/>
    </row>
    <row r="30" spans="1:16" ht="15.75" x14ac:dyDescent="0.25">
      <c r="A30" s="35"/>
      <c r="B30" s="35"/>
      <c r="C30" s="35"/>
      <c r="D30" s="87"/>
      <c r="E30" s="66"/>
      <c r="F30" s="66"/>
      <c r="G30" s="66"/>
      <c r="H30" s="66"/>
      <c r="I30" s="66"/>
      <c r="J30" s="66"/>
      <c r="K30" s="66"/>
      <c r="L30" s="66"/>
      <c r="M30" s="66"/>
      <c r="N30" s="66"/>
      <c r="O30" s="66"/>
      <c r="P30" s="66"/>
    </row>
    <row r="31" spans="1:16" ht="15.75" x14ac:dyDescent="0.25">
      <c r="A31" s="35"/>
      <c r="B31" s="35"/>
      <c r="C31" s="35"/>
      <c r="D31" s="87"/>
      <c r="E31" s="66"/>
      <c r="F31" s="66"/>
      <c r="G31" s="66"/>
      <c r="H31" s="66"/>
      <c r="I31" s="66"/>
      <c r="J31" s="66"/>
      <c r="K31" s="66"/>
      <c r="L31" s="66"/>
      <c r="M31" s="66"/>
      <c r="N31" s="66"/>
      <c r="O31" s="66"/>
      <c r="P31" s="66"/>
    </row>
    <row r="32" spans="1:16" ht="15.75" x14ac:dyDescent="0.25">
      <c r="A32" s="35"/>
      <c r="B32" s="35"/>
      <c r="C32" s="35"/>
      <c r="D32" s="87"/>
      <c r="E32" s="66"/>
      <c r="F32" s="66"/>
      <c r="G32" s="66"/>
      <c r="H32" s="66"/>
      <c r="I32" s="66"/>
      <c r="J32" s="66"/>
      <c r="K32" s="66"/>
      <c r="L32" s="66"/>
      <c r="M32" s="66"/>
      <c r="N32" s="66"/>
      <c r="O32" s="66"/>
      <c r="P32" s="66"/>
    </row>
    <row r="33" spans="1:16" ht="15.75" x14ac:dyDescent="0.25">
      <c r="A33" s="3"/>
      <c r="B33" s="36"/>
      <c r="C33" s="36"/>
      <c r="D33" s="87"/>
      <c r="E33" s="41"/>
      <c r="F33" s="41"/>
      <c r="G33" s="41"/>
      <c r="H33" s="41"/>
      <c r="I33" s="41"/>
      <c r="J33" s="41"/>
      <c r="K33" s="41"/>
      <c r="L33" s="41"/>
      <c r="M33" s="41"/>
      <c r="N33" s="41"/>
      <c r="O33" s="41"/>
      <c r="P33" s="41"/>
    </row>
    <row r="34" spans="1:16" ht="15.75" x14ac:dyDescent="0.25">
      <c r="A34" s="3"/>
      <c r="B34" s="3"/>
      <c r="C34" s="3"/>
      <c r="D34" s="87"/>
      <c r="E34" s="41"/>
      <c r="F34" s="41"/>
      <c r="G34" s="41"/>
      <c r="H34" s="41"/>
      <c r="I34" s="41"/>
      <c r="J34" s="41"/>
      <c r="K34" s="41"/>
      <c r="L34" s="41"/>
      <c r="M34" s="41"/>
      <c r="N34" s="41"/>
      <c r="O34" s="41"/>
      <c r="P34" s="41"/>
    </row>
    <row r="35" spans="1:16" ht="15" x14ac:dyDescent="0.2">
      <c r="A35" s="3"/>
      <c r="B35" s="3"/>
      <c r="C35" s="3"/>
      <c r="D35" s="2"/>
    </row>
    <row r="36" spans="1:16" ht="15" x14ac:dyDescent="0.2">
      <c r="A36" s="3"/>
      <c r="B36" s="3"/>
      <c r="C36" s="3"/>
      <c r="D36" s="2"/>
    </row>
    <row r="37" spans="1:16" ht="15" x14ac:dyDescent="0.2">
      <c r="A37" s="3"/>
      <c r="B37" s="3"/>
      <c r="C37" s="3"/>
      <c r="D37" s="5"/>
    </row>
    <row r="38" spans="1:16" ht="15" x14ac:dyDescent="0.2">
      <c r="A38" s="3"/>
      <c r="B38" s="3"/>
      <c r="C38" s="3"/>
      <c r="D38" s="5"/>
    </row>
  </sheetData>
  <mergeCells count="5">
    <mergeCell ref="N4:P4"/>
    <mergeCell ref="D2:P2"/>
    <mergeCell ref="D3:P3"/>
    <mergeCell ref="D7:P7"/>
    <mergeCell ref="D15:P15"/>
  </mergeCells>
  <printOptions horizontalCentered="1"/>
  <pageMargins left="0.5" right="0.5" top="0.75" bottom="0.75" header="0.5" footer="0.25"/>
  <pageSetup scale="40"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theme="9" tint="0.39997558519241921"/>
    <pageSetUpPr fitToPage="1"/>
  </sheetPr>
  <dimension ref="A1:Q55"/>
  <sheetViews>
    <sheetView showGridLines="0" topLeftCell="C1" zoomScale="70" zoomScaleNormal="70" workbookViewId="0">
      <pane xSplit="2" topLeftCell="E1" activePane="topRight" state="frozen"/>
      <selection activeCell="C1" sqref="C1"/>
      <selection pane="topRight" activeCell="E1" sqref="E1"/>
    </sheetView>
  </sheetViews>
  <sheetFormatPr defaultRowHeight="12.75" x14ac:dyDescent="0.2"/>
  <cols>
    <col min="1" max="1" width="4" hidden="1" customWidth="1"/>
    <col min="2" max="2" width="6.7109375" hidden="1" customWidth="1"/>
    <col min="3" max="3" width="6.7109375" customWidth="1"/>
    <col min="4" max="4" width="60.7109375" customWidth="1"/>
    <col min="5" max="5" width="18" hidden="1" customWidth="1"/>
    <col min="6" max="16" width="18" customWidth="1"/>
  </cols>
  <sheetData>
    <row r="1" spans="1:16" x14ac:dyDescent="0.2">
      <c r="E1" s="4"/>
      <c r="F1" s="4"/>
      <c r="G1" s="4"/>
      <c r="H1" s="4"/>
      <c r="I1" s="4"/>
      <c r="J1" s="4"/>
      <c r="K1" s="4"/>
      <c r="L1" s="4"/>
      <c r="M1" s="4"/>
      <c r="N1" s="4"/>
      <c r="O1" s="4"/>
      <c r="P1" s="4"/>
    </row>
    <row r="2" spans="1:16" ht="21" customHeight="1" x14ac:dyDescent="0.35">
      <c r="A2" s="4"/>
      <c r="B2" s="4"/>
      <c r="C2" s="4"/>
      <c r="D2" s="869" t="s">
        <v>150</v>
      </c>
      <c r="E2" s="869"/>
      <c r="F2" s="869"/>
      <c r="G2" s="869"/>
      <c r="H2" s="869"/>
      <c r="I2" s="869"/>
      <c r="J2" s="869"/>
      <c r="K2" s="869"/>
      <c r="L2" s="869"/>
      <c r="M2" s="869"/>
      <c r="N2" s="955"/>
      <c r="O2" s="955"/>
      <c r="P2" s="955"/>
    </row>
    <row r="3" spans="1:16" ht="24" customHeight="1" x14ac:dyDescent="0.35">
      <c r="A3" s="4"/>
      <c r="B3" s="23"/>
      <c r="C3" s="23"/>
      <c r="D3" s="950" t="s">
        <v>214</v>
      </c>
      <c r="E3" s="950"/>
      <c r="F3" s="950"/>
      <c r="G3" s="950"/>
      <c r="H3" s="950"/>
      <c r="I3" s="950"/>
      <c r="J3" s="950"/>
      <c r="K3" s="950"/>
      <c r="L3" s="950"/>
      <c r="M3" s="950"/>
      <c r="N3" s="955"/>
      <c r="O3" s="955"/>
      <c r="P3" s="955"/>
    </row>
    <row r="4" spans="1:16" ht="24" customHeight="1" thickBot="1" x14ac:dyDescent="0.4">
      <c r="A4" s="4"/>
      <c r="B4" s="23"/>
      <c r="C4" s="23"/>
      <c r="D4" s="959"/>
      <c r="E4" s="959"/>
      <c r="F4" s="959"/>
      <c r="G4" s="959"/>
      <c r="H4" s="959"/>
      <c r="I4" s="959"/>
      <c r="J4" s="959"/>
      <c r="K4" s="959"/>
      <c r="L4" s="959"/>
      <c r="M4" s="959"/>
      <c r="N4" s="953"/>
      <c r="O4" s="954"/>
      <c r="P4" s="954"/>
    </row>
    <row r="5" spans="1:16" ht="24" customHeight="1" x14ac:dyDescent="0.25">
      <c r="A5" s="4"/>
      <c r="D5" s="256" t="s">
        <v>13</v>
      </c>
      <c r="E5" s="394" t="s">
        <v>13</v>
      </c>
      <c r="F5" s="394" t="s">
        <v>13</v>
      </c>
      <c r="G5" s="394" t="s">
        <v>13</v>
      </c>
      <c r="H5" s="394" t="s">
        <v>13</v>
      </c>
      <c r="I5" s="394" t="s">
        <v>13</v>
      </c>
      <c r="J5" s="394" t="s">
        <v>13</v>
      </c>
      <c r="K5" s="394"/>
      <c r="L5" s="394"/>
      <c r="M5" s="394"/>
      <c r="N5" s="394"/>
      <c r="O5" s="394"/>
      <c r="P5" s="394"/>
    </row>
    <row r="6" spans="1:16" ht="18" customHeight="1" x14ac:dyDescent="0.25">
      <c r="A6" s="4"/>
      <c r="B6" s="23"/>
      <c r="C6" s="23"/>
      <c r="D6" s="256"/>
      <c r="E6" s="256">
        <v>2013</v>
      </c>
      <c r="F6" s="256">
        <v>2014</v>
      </c>
      <c r="G6" s="256">
        <v>2015</v>
      </c>
      <c r="H6" s="256">
        <v>2016</v>
      </c>
      <c r="I6" s="256">
        <v>2017</v>
      </c>
      <c r="J6" s="256">
        <v>2018</v>
      </c>
      <c r="K6" s="256">
        <v>2019</v>
      </c>
      <c r="L6" s="256">
        <v>2020</v>
      </c>
      <c r="M6" s="256">
        <v>2021</v>
      </c>
      <c r="N6" s="256">
        <v>2022</v>
      </c>
      <c r="O6" s="256">
        <v>2023</v>
      </c>
      <c r="P6" s="256">
        <v>2024</v>
      </c>
    </row>
    <row r="7" spans="1:16" ht="17.25" customHeight="1" thickBot="1" x14ac:dyDescent="0.3">
      <c r="A7" s="15"/>
      <c r="B7" s="15"/>
      <c r="C7" s="15"/>
      <c r="D7" s="390"/>
      <c r="E7" s="391" t="s">
        <v>98</v>
      </c>
      <c r="F7" s="391" t="s">
        <v>98</v>
      </c>
      <c r="G7" s="391" t="s">
        <v>98</v>
      </c>
      <c r="H7" s="391" t="s">
        <v>98</v>
      </c>
      <c r="I7" s="391" t="s">
        <v>98</v>
      </c>
      <c r="J7" s="391" t="s">
        <v>98</v>
      </c>
      <c r="K7" s="391" t="s">
        <v>98</v>
      </c>
      <c r="L7" s="391" t="s">
        <v>98</v>
      </c>
      <c r="M7" s="391" t="s">
        <v>98</v>
      </c>
      <c r="N7" s="391" t="s">
        <v>269</v>
      </c>
      <c r="O7" s="391" t="s">
        <v>269</v>
      </c>
      <c r="P7" s="391" t="s">
        <v>269</v>
      </c>
    </row>
    <row r="8" spans="1:16" ht="21.75" customHeight="1" thickBot="1" x14ac:dyDescent="0.3">
      <c r="A8" s="15"/>
      <c r="B8" s="15"/>
      <c r="C8" s="15"/>
      <c r="D8" s="958" t="s">
        <v>15</v>
      </c>
      <c r="E8" s="958"/>
      <c r="F8" s="958"/>
      <c r="G8" s="958"/>
      <c r="H8" s="958"/>
      <c r="I8" s="958"/>
      <c r="J8" s="958"/>
      <c r="K8" s="958"/>
      <c r="L8" s="958"/>
      <c r="M8" s="958"/>
      <c r="N8" s="952"/>
      <c r="O8" s="952"/>
      <c r="P8" s="952"/>
    </row>
    <row r="9" spans="1:16" s="7" customFormat="1" ht="18.75" thickBot="1" x14ac:dyDescent="0.3">
      <c r="A9" s="91" t="s">
        <v>43</v>
      </c>
      <c r="B9" s="92"/>
      <c r="C9" s="92"/>
      <c r="D9" s="238" t="s">
        <v>168</v>
      </c>
      <c r="E9" s="385">
        <v>2176584</v>
      </c>
      <c r="F9" s="385">
        <v>2910409</v>
      </c>
      <c r="G9" s="385">
        <v>2853482</v>
      </c>
      <c r="H9" s="385">
        <v>3278554</v>
      </c>
      <c r="I9" s="385">
        <v>3592169</v>
      </c>
      <c r="J9" s="385">
        <v>2636995</v>
      </c>
      <c r="K9" s="385">
        <v>4274928</v>
      </c>
      <c r="L9" s="385">
        <v>4246668</v>
      </c>
      <c r="M9" s="385">
        <v>2914520</v>
      </c>
      <c r="N9" s="385">
        <f>'[18]Eversource Elect_Table_B'!$K7</f>
        <v>442798.71160684008</v>
      </c>
      <c r="O9" s="385">
        <f>'[18]Eversource Elect_Table_B'!$K34</f>
        <v>95518.097083655011</v>
      </c>
      <c r="P9" s="385">
        <f>'[18]Eversource Elect_Table_B'!$K61</f>
        <v>61794.062520698753</v>
      </c>
    </row>
    <row r="10" spans="1:16" s="1" customFormat="1" ht="18.75" thickBot="1" x14ac:dyDescent="0.3">
      <c r="A10" s="91" t="s">
        <v>43</v>
      </c>
      <c r="B10" s="92"/>
      <c r="C10" s="92"/>
      <c r="D10" s="243" t="s">
        <v>115</v>
      </c>
      <c r="E10" s="385">
        <v>770</v>
      </c>
      <c r="F10" s="385">
        <v>1486</v>
      </c>
      <c r="G10" s="385">
        <v>439</v>
      </c>
      <c r="H10" s="385">
        <v>586</v>
      </c>
      <c r="I10" s="385">
        <v>1892</v>
      </c>
      <c r="J10" s="385">
        <v>1657</v>
      </c>
      <c r="K10" s="385">
        <v>1723</v>
      </c>
      <c r="L10" s="385">
        <v>1244</v>
      </c>
      <c r="M10" s="385">
        <v>1357</v>
      </c>
      <c r="N10" s="385">
        <f>'[18]Eversource Elect_Table_B'!$K8</f>
        <v>1350.6257650271993</v>
      </c>
      <c r="O10" s="385">
        <f>'[18]Eversource Elect_Table_B'!$K35</f>
        <v>1076.1683587040816</v>
      </c>
      <c r="P10" s="385">
        <f>'[18]Eversource Elect_Table_B'!$K62</f>
        <v>920.63882838137158</v>
      </c>
    </row>
    <row r="11" spans="1:16" s="16" customFormat="1" ht="24" customHeight="1" thickBot="1" x14ac:dyDescent="0.3">
      <c r="A11" s="91"/>
      <c r="B11" s="92"/>
      <c r="C11" s="92"/>
      <c r="D11" s="960" t="s">
        <v>310</v>
      </c>
      <c r="E11" s="960"/>
      <c r="F11" s="960"/>
      <c r="G11" s="960"/>
      <c r="H11" s="960"/>
      <c r="I11" s="960"/>
      <c r="J11" s="960"/>
      <c r="K11" s="960"/>
      <c r="L11" s="960"/>
      <c r="M11" s="960"/>
      <c r="N11" s="606"/>
      <c r="O11" s="606"/>
      <c r="P11" s="606"/>
    </row>
    <row r="12" spans="1:16" s="1" customFormat="1" ht="18.75" thickBot="1" x14ac:dyDescent="0.3">
      <c r="A12" s="91"/>
      <c r="B12" s="92"/>
      <c r="C12" s="92"/>
      <c r="D12" s="243" t="s">
        <v>205</v>
      </c>
      <c r="E12" s="385">
        <v>104</v>
      </c>
      <c r="F12" s="385">
        <f>54</f>
        <v>54</v>
      </c>
      <c r="G12" s="385">
        <v>0</v>
      </c>
      <c r="H12" s="385">
        <v>0</v>
      </c>
      <c r="I12" s="385">
        <v>0</v>
      </c>
      <c r="J12" s="385">
        <v>0</v>
      </c>
      <c r="K12" s="385">
        <v>0</v>
      </c>
      <c r="L12" s="385">
        <v>0</v>
      </c>
      <c r="M12" s="385">
        <v>0</v>
      </c>
      <c r="N12" s="385">
        <v>0</v>
      </c>
      <c r="O12" s="385">
        <v>0</v>
      </c>
      <c r="P12" s="385">
        <v>0</v>
      </c>
    </row>
    <row r="13" spans="1:16" s="1" customFormat="1" ht="18.75" thickBot="1" x14ac:dyDescent="0.3">
      <c r="A13" s="91"/>
      <c r="B13" s="92"/>
      <c r="C13" s="92"/>
      <c r="D13" s="243" t="s">
        <v>206</v>
      </c>
      <c r="E13" s="385">
        <v>378</v>
      </c>
      <c r="F13" s="385">
        <v>541</v>
      </c>
      <c r="G13" s="385">
        <v>1015</v>
      </c>
      <c r="H13" s="385">
        <v>0</v>
      </c>
      <c r="I13" s="385">
        <v>0</v>
      </c>
      <c r="J13" s="385">
        <v>0</v>
      </c>
      <c r="K13" s="385">
        <v>0</v>
      </c>
      <c r="L13" s="385">
        <v>0</v>
      </c>
      <c r="M13" s="385">
        <v>0</v>
      </c>
      <c r="N13" s="385">
        <v>0</v>
      </c>
      <c r="O13" s="385">
        <v>0</v>
      </c>
      <c r="P13" s="385">
        <v>0</v>
      </c>
    </row>
    <row r="14" spans="1:16" s="1" customFormat="1" ht="18.75" thickBot="1" x14ac:dyDescent="0.3">
      <c r="A14" s="91"/>
      <c r="B14" s="92"/>
      <c r="C14" s="92"/>
      <c r="D14" s="243" t="s">
        <v>207</v>
      </c>
      <c r="E14" s="385">
        <v>1840</v>
      </c>
      <c r="F14" s="385">
        <v>3592</v>
      </c>
      <c r="G14" s="385">
        <v>2848</v>
      </c>
      <c r="H14" s="385">
        <v>0</v>
      </c>
      <c r="I14" s="385">
        <v>0</v>
      </c>
      <c r="J14" s="385">
        <v>0</v>
      </c>
      <c r="K14" s="385">
        <v>0</v>
      </c>
      <c r="L14" s="385">
        <v>0</v>
      </c>
      <c r="M14" s="385">
        <v>0</v>
      </c>
      <c r="N14" s="385">
        <v>0</v>
      </c>
      <c r="O14" s="385">
        <v>0</v>
      </c>
      <c r="P14" s="385">
        <v>0</v>
      </c>
    </row>
    <row r="15" spans="1:16" s="1" customFormat="1" ht="18.75" thickBot="1" x14ac:dyDescent="0.3">
      <c r="A15" s="91"/>
      <c r="B15" s="92"/>
      <c r="C15" s="92"/>
      <c r="D15" s="243" t="s">
        <v>204</v>
      </c>
      <c r="E15" s="385">
        <v>2231</v>
      </c>
      <c r="F15" s="385">
        <v>4166</v>
      </c>
      <c r="G15" s="385">
        <v>3605</v>
      </c>
      <c r="H15" s="385">
        <v>0</v>
      </c>
      <c r="I15" s="385">
        <v>0</v>
      </c>
      <c r="J15" s="385">
        <v>0</v>
      </c>
      <c r="K15" s="385">
        <v>0</v>
      </c>
      <c r="L15" s="385">
        <v>0</v>
      </c>
      <c r="M15" s="385">
        <v>0</v>
      </c>
      <c r="N15" s="385">
        <v>0</v>
      </c>
      <c r="O15" s="385">
        <v>0</v>
      </c>
      <c r="P15" s="385">
        <v>0</v>
      </c>
    </row>
    <row r="16" spans="1:16" s="1" customFormat="1" ht="18.75" thickBot="1" x14ac:dyDescent="0.3">
      <c r="A16" s="91"/>
      <c r="B16" s="92"/>
      <c r="C16" s="92"/>
      <c r="D16" s="243" t="s">
        <v>203</v>
      </c>
      <c r="E16" s="385">
        <f>161+4</f>
        <v>165</v>
      </c>
      <c r="F16" s="385">
        <v>278</v>
      </c>
      <c r="G16" s="385">
        <v>187</v>
      </c>
      <c r="H16" s="385">
        <v>0</v>
      </c>
      <c r="I16" s="385">
        <v>0</v>
      </c>
      <c r="J16" s="385">
        <v>0</v>
      </c>
      <c r="K16" s="385">
        <v>0</v>
      </c>
      <c r="L16" s="385">
        <v>0</v>
      </c>
      <c r="M16" s="385">
        <v>0</v>
      </c>
      <c r="N16" s="385">
        <v>0</v>
      </c>
      <c r="O16" s="385">
        <v>0</v>
      </c>
      <c r="P16" s="385">
        <v>0</v>
      </c>
    </row>
    <row r="17" spans="1:17" s="1" customFormat="1" ht="18.75" thickBot="1" x14ac:dyDescent="0.3">
      <c r="A17" s="91"/>
      <c r="B17" s="92"/>
      <c r="C17" s="92"/>
      <c r="D17" s="243" t="s">
        <v>213</v>
      </c>
      <c r="E17" s="385">
        <v>303</v>
      </c>
      <c r="F17" s="385">
        <v>169</v>
      </c>
      <c r="G17" s="385">
        <f>132+3</f>
        <v>135</v>
      </c>
      <c r="H17" s="385">
        <v>0</v>
      </c>
      <c r="I17" s="385">
        <v>0</v>
      </c>
      <c r="J17" s="385">
        <v>0</v>
      </c>
      <c r="K17" s="385">
        <v>0</v>
      </c>
      <c r="L17" s="385">
        <v>0</v>
      </c>
      <c r="M17" s="385">
        <v>0</v>
      </c>
      <c r="N17" s="385">
        <v>0</v>
      </c>
      <c r="O17" s="385">
        <v>0</v>
      </c>
      <c r="P17" s="385">
        <v>0</v>
      </c>
    </row>
    <row r="18" spans="1:17" s="1" customFormat="1" ht="54.75" thickBot="1" x14ac:dyDescent="0.3">
      <c r="A18" s="91"/>
      <c r="B18" s="92"/>
      <c r="C18" s="92"/>
      <c r="D18" s="279" t="s">
        <v>419</v>
      </c>
      <c r="E18" s="393">
        <v>14080</v>
      </c>
      <c r="F18" s="385">
        <v>16906</v>
      </c>
      <c r="G18" s="385">
        <f>10776+1070+582</f>
        <v>12428</v>
      </c>
      <c r="H18" s="385">
        <v>11051</v>
      </c>
      <c r="I18" s="385">
        <v>18267</v>
      </c>
      <c r="J18" s="385">
        <v>14444</v>
      </c>
      <c r="K18" s="385">
        <v>17664</v>
      </c>
      <c r="L18" s="385">
        <v>22226</v>
      </c>
      <c r="M18" s="385">
        <v>21829</v>
      </c>
      <c r="N18" s="385">
        <f>'[18]Eversource Elect_Table_B'!$K9</f>
        <v>19138.077926234888</v>
      </c>
      <c r="O18" s="385">
        <f>'[18]Eversource Elect_Table_B'!$K36</f>
        <v>15903.83289932323</v>
      </c>
      <c r="P18" s="385">
        <f>'[18]Eversource Elect_Table_B'!$K63</f>
        <v>16945.390085031111</v>
      </c>
    </row>
    <row r="19" spans="1:17" s="1" customFormat="1" ht="18.75" thickBot="1" x14ac:dyDescent="0.3">
      <c r="A19" s="91"/>
      <c r="B19" s="92"/>
      <c r="C19" s="92"/>
      <c r="D19" s="279" t="s">
        <v>520</v>
      </c>
      <c r="E19" s="385">
        <v>0</v>
      </c>
      <c r="F19" s="385">
        <v>0</v>
      </c>
      <c r="G19" s="385">
        <v>0</v>
      </c>
      <c r="H19" s="385">
        <v>16058</v>
      </c>
      <c r="I19" s="385">
        <v>21872</v>
      </c>
      <c r="J19" s="385">
        <v>17099</v>
      </c>
      <c r="K19" s="385">
        <v>20347</v>
      </c>
      <c r="L19" s="385">
        <v>49474</v>
      </c>
      <c r="M19" s="385">
        <v>54479</v>
      </c>
      <c r="N19" s="385">
        <f>'[18]Eversource Elect_Table_B'!$K10</f>
        <v>57580.936774681475</v>
      </c>
      <c r="O19" s="385">
        <f>'[18]Eversource Elect_Table_B'!$K37</f>
        <v>37843.674777995999</v>
      </c>
      <c r="P19" s="385">
        <f>'[18]Eversource Elect_Table_B'!$K64</f>
        <v>34773.001140178661</v>
      </c>
    </row>
    <row r="20" spans="1:17" s="1" customFormat="1" ht="18.75" thickBot="1" x14ac:dyDescent="0.3">
      <c r="A20" s="91" t="s">
        <v>43</v>
      </c>
      <c r="B20" s="92"/>
      <c r="C20" s="92"/>
      <c r="D20" s="238" t="s">
        <v>201</v>
      </c>
      <c r="E20" s="393">
        <v>3357</v>
      </c>
      <c r="F20" s="393">
        <f>2943+5073+11</f>
        <v>8027</v>
      </c>
      <c r="G20" s="393">
        <f>3265+11112</f>
        <v>14377</v>
      </c>
      <c r="H20" s="385">
        <v>0</v>
      </c>
      <c r="I20" s="385">
        <v>0</v>
      </c>
      <c r="J20" s="385">
        <v>0</v>
      </c>
      <c r="K20" s="385">
        <v>0</v>
      </c>
      <c r="L20" s="385">
        <v>0</v>
      </c>
      <c r="M20" s="385">
        <v>0</v>
      </c>
      <c r="N20" s="385"/>
      <c r="O20" s="385">
        <v>0</v>
      </c>
      <c r="P20" s="385">
        <v>0</v>
      </c>
    </row>
    <row r="21" spans="1:17" s="1" customFormat="1" ht="18.75" thickBot="1" x14ac:dyDescent="0.3">
      <c r="A21" s="91"/>
      <c r="B21" s="92"/>
      <c r="C21" s="92"/>
      <c r="D21" s="238" t="s">
        <v>202</v>
      </c>
      <c r="E21" s="385">
        <v>0</v>
      </c>
      <c r="F21" s="385">
        <v>0</v>
      </c>
      <c r="G21" s="385">
        <v>0</v>
      </c>
      <c r="H21" s="385">
        <v>0</v>
      </c>
      <c r="I21" s="385">
        <v>0</v>
      </c>
      <c r="J21" s="385">
        <v>0</v>
      </c>
      <c r="K21" s="385">
        <v>0</v>
      </c>
      <c r="L21" s="385">
        <v>0</v>
      </c>
      <c r="M21" s="385">
        <v>0</v>
      </c>
      <c r="N21" s="385">
        <f>'[18]Eversource Elect_Table_B'!$K12</f>
        <v>130000</v>
      </c>
      <c r="O21" s="385">
        <v>0</v>
      </c>
      <c r="P21" s="385">
        <v>0</v>
      </c>
      <c r="Q21" s="117"/>
    </row>
    <row r="22" spans="1:17" s="1" customFormat="1" ht="18.75" thickBot="1" x14ac:dyDescent="0.3">
      <c r="A22" s="91"/>
      <c r="B22" s="92"/>
      <c r="C22" s="92"/>
      <c r="D22" s="259" t="s">
        <v>309</v>
      </c>
      <c r="E22" s="384">
        <f>SUM(E12:E21)</f>
        <v>22458</v>
      </c>
      <c r="F22" s="384">
        <f>SUM(F12:F21)</f>
        <v>33733</v>
      </c>
      <c r="G22" s="384">
        <f>SUM(G12:G21)</f>
        <v>34595</v>
      </c>
      <c r="H22" s="384">
        <f t="shared" ref="H22:M22" si="0">H18+H19</f>
        <v>27109</v>
      </c>
      <c r="I22" s="384">
        <f t="shared" si="0"/>
        <v>40139</v>
      </c>
      <c r="J22" s="384">
        <f t="shared" si="0"/>
        <v>31543</v>
      </c>
      <c r="K22" s="384">
        <f t="shared" si="0"/>
        <v>38011</v>
      </c>
      <c r="L22" s="384">
        <f t="shared" si="0"/>
        <v>71700</v>
      </c>
      <c r="M22" s="384">
        <f t="shared" si="0"/>
        <v>76308</v>
      </c>
      <c r="N22" s="384">
        <f>N18+N19</f>
        <v>76719.014700916363</v>
      </c>
      <c r="O22" s="384">
        <f t="shared" ref="O22" si="1">O18+O19</f>
        <v>53747.507677319227</v>
      </c>
      <c r="P22" s="384">
        <f t="shared" ref="P22" si="2">P18+P19</f>
        <v>51718.391225209773</v>
      </c>
    </row>
    <row r="23" spans="1:17" ht="18.75" thickBot="1" x14ac:dyDescent="0.3">
      <c r="A23" s="27" t="s">
        <v>43</v>
      </c>
      <c r="B23" s="26"/>
      <c r="C23" s="26"/>
      <c r="D23" s="238" t="s">
        <v>276</v>
      </c>
      <c r="E23" s="385">
        <v>7824</v>
      </c>
      <c r="F23" s="385">
        <v>14711</v>
      </c>
      <c r="G23" s="385">
        <v>12203</v>
      </c>
      <c r="H23" s="385">
        <v>9599</v>
      </c>
      <c r="I23" s="385">
        <v>21582</v>
      </c>
      <c r="J23" s="385">
        <v>15039</v>
      </c>
      <c r="K23" s="385">
        <v>12402</v>
      </c>
      <c r="L23" s="385">
        <v>16468</v>
      </c>
      <c r="M23" s="385">
        <v>14363</v>
      </c>
      <c r="N23" s="385">
        <f>'[18]Eversource Elect_Table_B'!$K11</f>
        <v>15591.502727495024</v>
      </c>
      <c r="O23" s="385">
        <f>'[18]Eversource Elect_Table_B'!$K38</f>
        <v>14936.359670003532</v>
      </c>
      <c r="P23" s="385">
        <f>'[18]Eversource Elect_Table_B'!$K65</f>
        <v>14436.419822496449</v>
      </c>
    </row>
    <row r="24" spans="1:17" ht="18.75" thickBot="1" x14ac:dyDescent="0.3">
      <c r="A24" s="27"/>
      <c r="B24" s="26"/>
      <c r="C24" s="26"/>
      <c r="D24" s="238" t="s">
        <v>140</v>
      </c>
      <c r="E24" s="385">
        <v>0</v>
      </c>
      <c r="F24" s="385">
        <v>339218</v>
      </c>
      <c r="G24" s="385">
        <v>296871</v>
      </c>
      <c r="H24" s="385">
        <v>405959</v>
      </c>
      <c r="I24" s="385">
        <v>506000</v>
      </c>
      <c r="J24" s="385">
        <v>119622</v>
      </c>
      <c r="K24" s="385">
        <v>135902</v>
      </c>
      <c r="L24" s="385">
        <f>[19]EE_Table_B!$K$38</f>
        <v>0</v>
      </c>
      <c r="M24" s="385">
        <f>[19]EE_Table_B!$K$64</f>
        <v>0</v>
      </c>
      <c r="N24" s="385">
        <f>'[18]Eversource Elect_Table_B'!$K12</f>
        <v>130000</v>
      </c>
      <c r="O24" s="385">
        <f>'[18]Eversource Elect_Table_B'!$K39</f>
        <v>130000</v>
      </c>
      <c r="P24" s="385">
        <f>'[18]Eversource Elect_Table_B'!$K66</f>
        <v>130000</v>
      </c>
    </row>
    <row r="25" spans="1:17" ht="18.75" customHeight="1" thickBot="1" x14ac:dyDescent="0.3">
      <c r="A25" s="26"/>
      <c r="B25" s="26"/>
      <c r="C25" s="26"/>
      <c r="D25" s="245" t="s">
        <v>311</v>
      </c>
      <c r="E25" s="384">
        <f t="shared" ref="E25:M25" si="3">SUM(E9,E10,E22,E23,E24)</f>
        <v>2207636</v>
      </c>
      <c r="F25" s="384">
        <f t="shared" si="3"/>
        <v>3299557</v>
      </c>
      <c r="G25" s="384">
        <f t="shared" si="3"/>
        <v>3197590</v>
      </c>
      <c r="H25" s="384">
        <f t="shared" si="3"/>
        <v>3721807</v>
      </c>
      <c r="I25" s="384">
        <f t="shared" si="3"/>
        <v>4161782</v>
      </c>
      <c r="J25" s="384">
        <f t="shared" si="3"/>
        <v>2804856</v>
      </c>
      <c r="K25" s="384">
        <f t="shared" si="3"/>
        <v>4462966</v>
      </c>
      <c r="L25" s="384">
        <f t="shared" si="3"/>
        <v>4336080</v>
      </c>
      <c r="M25" s="384">
        <f t="shared" si="3"/>
        <v>3006548</v>
      </c>
      <c r="N25" s="384">
        <f t="shared" ref="N25:O25" si="4">SUM(N9,N10,N22,N23,N24)</f>
        <v>666459.85480027867</v>
      </c>
      <c r="O25" s="384">
        <f t="shared" si="4"/>
        <v>295278.13278968184</v>
      </c>
      <c r="P25" s="384">
        <f t="shared" ref="P25" si="5">SUM(P9,P10,P22,P23,P24)</f>
        <v>258869.51239678636</v>
      </c>
    </row>
    <row r="26" spans="1:17" ht="21.75" customHeight="1" thickBot="1" x14ac:dyDescent="0.3">
      <c r="A26" s="28"/>
      <c r="B26" s="26"/>
      <c r="C26" s="26"/>
      <c r="D26" s="956" t="s">
        <v>16</v>
      </c>
      <c r="E26" s="956"/>
      <c r="F26" s="956"/>
      <c r="G26" s="956"/>
      <c r="H26" s="956"/>
      <c r="I26" s="956"/>
      <c r="J26" s="956"/>
      <c r="K26" s="956"/>
      <c r="L26" s="956"/>
      <c r="M26" s="956"/>
      <c r="N26" s="952"/>
      <c r="O26" s="952"/>
      <c r="P26" s="952"/>
    </row>
    <row r="27" spans="1:17" ht="18.75" thickBot="1" x14ac:dyDescent="0.3">
      <c r="A27" s="29" t="s">
        <v>44</v>
      </c>
      <c r="B27" s="26"/>
      <c r="C27" s="26"/>
      <c r="D27" s="238" t="s">
        <v>159</v>
      </c>
      <c r="E27" s="385">
        <v>436</v>
      </c>
      <c r="F27" s="385">
        <v>561</v>
      </c>
      <c r="G27" s="385">
        <v>560</v>
      </c>
      <c r="H27" s="385">
        <v>528</v>
      </c>
      <c r="I27" s="385">
        <v>484</v>
      </c>
      <c r="J27" s="385">
        <v>326</v>
      </c>
      <c r="K27" s="385">
        <v>417</v>
      </c>
      <c r="L27" s="385">
        <v>1070</v>
      </c>
      <c r="M27" s="385">
        <v>109</v>
      </c>
      <c r="N27" s="385">
        <f>'[18]Eversource Elect_Table_B'!$K15</f>
        <v>174.57766292105435</v>
      </c>
      <c r="O27" s="385">
        <f>'[18]Eversource Elect_Table_B'!$K42</f>
        <v>144.29929652078692</v>
      </c>
      <c r="P27" s="385">
        <f>'[18]Eversource Elect_Table_B'!$K69</f>
        <v>134.82579484240046</v>
      </c>
    </row>
    <row r="28" spans="1:17" ht="23.25" customHeight="1" thickBot="1" x14ac:dyDescent="0.3">
      <c r="A28" s="29" t="s">
        <v>44</v>
      </c>
      <c r="B28" s="26"/>
      <c r="C28" s="26"/>
      <c r="D28" s="238" t="s">
        <v>160</v>
      </c>
      <c r="E28" s="385">
        <v>762</v>
      </c>
      <c r="F28" s="385">
        <v>789</v>
      </c>
      <c r="G28" s="385">
        <v>796</v>
      </c>
      <c r="H28" s="385">
        <v>1111</v>
      </c>
      <c r="I28" s="385">
        <v>1144</v>
      </c>
      <c r="J28" s="385">
        <v>1147</v>
      </c>
      <c r="K28" s="385">
        <v>1315</v>
      </c>
      <c r="L28" s="385">
        <v>946</v>
      </c>
      <c r="M28" s="385">
        <v>1068</v>
      </c>
      <c r="N28" s="385">
        <f>'[18]Eversource Elect_Table_B'!$K16</f>
        <v>571.64302419900639</v>
      </c>
      <c r="O28" s="385">
        <f>'[18]Eversource Elect_Table_B'!$K43</f>
        <v>496.97490668009408</v>
      </c>
      <c r="P28" s="385">
        <f>'[18]Eversource Elect_Table_B'!$K70</f>
        <v>494.82930396613432</v>
      </c>
    </row>
    <row r="29" spans="1:17" ht="36.75" thickBot="1" x14ac:dyDescent="0.3">
      <c r="A29" s="29" t="s">
        <v>44</v>
      </c>
      <c r="B29" s="26"/>
      <c r="C29" s="26"/>
      <c r="D29" s="279" t="s">
        <v>411</v>
      </c>
      <c r="E29" s="385">
        <f>23+76</f>
        <v>99</v>
      </c>
      <c r="F29" s="385">
        <f>55+65</f>
        <v>120</v>
      </c>
      <c r="G29" s="385">
        <f>78+87</f>
        <v>165</v>
      </c>
      <c r="H29" s="385">
        <v>194</v>
      </c>
      <c r="I29" s="385">
        <v>144</v>
      </c>
      <c r="J29" s="385">
        <v>132</v>
      </c>
      <c r="K29" s="385">
        <v>117</v>
      </c>
      <c r="L29" s="385">
        <v>61</v>
      </c>
      <c r="M29" s="385">
        <v>71</v>
      </c>
      <c r="N29" s="385">
        <f>'[18]Eversource Elect_Table_B'!$K17</f>
        <v>189.06264832374376</v>
      </c>
      <c r="O29" s="385">
        <f>'[18]Eversource Elect_Table_B'!$K44</f>
        <v>172.94507476395808</v>
      </c>
      <c r="P29" s="385">
        <f>'[18]Eversource Elect_Table_B'!$K71</f>
        <v>203.83049671855599</v>
      </c>
    </row>
    <row r="30" spans="1:17" ht="18.75" thickBot="1" x14ac:dyDescent="0.3">
      <c r="A30" s="29" t="s">
        <v>44</v>
      </c>
      <c r="B30" s="26"/>
      <c r="C30" s="26"/>
      <c r="D30" s="238" t="s">
        <v>117</v>
      </c>
      <c r="E30" s="385">
        <v>1277</v>
      </c>
      <c r="F30" s="385">
        <v>1571</v>
      </c>
      <c r="G30" s="385">
        <v>1349</v>
      </c>
      <c r="H30" s="385">
        <v>1318</v>
      </c>
      <c r="I30" s="385">
        <v>1275</v>
      </c>
      <c r="J30" s="385">
        <v>920</v>
      </c>
      <c r="K30" s="385">
        <v>924</v>
      </c>
      <c r="L30" s="385">
        <v>361</v>
      </c>
      <c r="M30" s="385">
        <v>601</v>
      </c>
      <c r="N30" s="385">
        <f>'[18]Eversource Elect_Table_B'!$K18</f>
        <v>924.71884863884998</v>
      </c>
      <c r="O30" s="385">
        <f>'[18]Eversource Elect_Table_B'!$K45</f>
        <v>753.13423144607304</v>
      </c>
      <c r="P30" s="385">
        <f>'[18]Eversource Elect_Table_B'!$K72</f>
        <v>790.55378223189325</v>
      </c>
    </row>
    <row r="31" spans="1:17" s="1" customFormat="1" ht="18.75" thickBot="1" x14ac:dyDescent="0.3">
      <c r="A31" s="30"/>
      <c r="B31" s="31"/>
      <c r="C31" s="31"/>
      <c r="D31" s="259" t="s">
        <v>277</v>
      </c>
      <c r="E31" s="384">
        <f t="shared" ref="E31:P31" si="6">SUM(E27:E30)</f>
        <v>2574</v>
      </c>
      <c r="F31" s="384">
        <f t="shared" si="6"/>
        <v>3041</v>
      </c>
      <c r="G31" s="384">
        <f t="shared" si="6"/>
        <v>2870</v>
      </c>
      <c r="H31" s="384">
        <f t="shared" si="6"/>
        <v>3151</v>
      </c>
      <c r="I31" s="384">
        <f t="shared" si="6"/>
        <v>3047</v>
      </c>
      <c r="J31" s="384">
        <f t="shared" si="6"/>
        <v>2525</v>
      </c>
      <c r="K31" s="384">
        <f t="shared" si="6"/>
        <v>2773</v>
      </c>
      <c r="L31" s="384">
        <f t="shared" si="6"/>
        <v>2438</v>
      </c>
      <c r="M31" s="384">
        <f t="shared" si="6"/>
        <v>1849</v>
      </c>
      <c r="N31" s="384">
        <f t="shared" si="6"/>
        <v>1860.0021840826546</v>
      </c>
      <c r="O31" s="384">
        <f t="shared" si="6"/>
        <v>1567.353509410912</v>
      </c>
      <c r="P31" s="384">
        <f t="shared" si="6"/>
        <v>1624.0393777589841</v>
      </c>
    </row>
    <row r="32" spans="1:17" ht="21.75" customHeight="1" thickBot="1" x14ac:dyDescent="0.3">
      <c r="A32" s="28"/>
      <c r="B32" s="26"/>
      <c r="C32" s="26"/>
      <c r="D32" s="856" t="s">
        <v>19</v>
      </c>
      <c r="E32" s="856"/>
      <c r="F32" s="856"/>
      <c r="G32" s="856"/>
      <c r="H32" s="856"/>
      <c r="I32" s="856"/>
      <c r="J32" s="856"/>
      <c r="K32" s="856"/>
      <c r="L32" s="856"/>
      <c r="M32" s="856"/>
      <c r="N32" s="952"/>
      <c r="O32" s="952"/>
      <c r="P32" s="952"/>
    </row>
    <row r="33" spans="1:16" ht="18.75" thickBot="1" x14ac:dyDescent="0.3">
      <c r="A33" s="29" t="s">
        <v>44</v>
      </c>
      <c r="B33" s="26"/>
      <c r="C33" s="26"/>
      <c r="D33" s="242" t="s">
        <v>118</v>
      </c>
      <c r="E33" s="385">
        <v>225</v>
      </c>
      <c r="F33" s="385">
        <v>220</v>
      </c>
      <c r="G33" s="385">
        <v>215</v>
      </c>
      <c r="H33" s="385">
        <v>113</v>
      </c>
      <c r="I33" s="385">
        <v>78</v>
      </c>
      <c r="J33" s="385">
        <v>78</v>
      </c>
      <c r="K33" s="385"/>
      <c r="L33" s="385">
        <v>0</v>
      </c>
      <c r="M33" s="385">
        <v>0</v>
      </c>
      <c r="N33" s="385">
        <v>0</v>
      </c>
      <c r="O33" s="385">
        <v>0</v>
      </c>
      <c r="P33" s="385">
        <v>0</v>
      </c>
    </row>
    <row r="34" spans="1:16" ht="18.75" thickBot="1" x14ac:dyDescent="0.3">
      <c r="A34" s="29"/>
      <c r="B34" s="26"/>
      <c r="C34" s="26"/>
      <c r="D34" s="242" t="s">
        <v>256</v>
      </c>
      <c r="E34" s="385">
        <v>0</v>
      </c>
      <c r="F34" s="385">
        <v>0</v>
      </c>
      <c r="G34" s="385">
        <v>0</v>
      </c>
      <c r="H34" s="385">
        <v>0</v>
      </c>
      <c r="I34" s="385">
        <v>0</v>
      </c>
      <c r="J34" s="385">
        <v>0</v>
      </c>
      <c r="K34" s="385">
        <v>4379</v>
      </c>
      <c r="L34" s="385">
        <v>14820</v>
      </c>
      <c r="M34" s="385">
        <v>17167</v>
      </c>
      <c r="N34" s="385">
        <f>'[18]Eversource Elect_Table_B'!$K21</f>
        <v>27600</v>
      </c>
      <c r="O34" s="385">
        <f>'[18]Eversource Elect_Table_B'!$K48</f>
        <v>25960.000000000004</v>
      </c>
      <c r="P34" s="385">
        <f>'[18]Eversource Elect_Table_B'!$K75</f>
        <v>28556.000000000007</v>
      </c>
    </row>
    <row r="35" spans="1:16" ht="18.75" thickBot="1" x14ac:dyDescent="0.3">
      <c r="A35" s="29"/>
      <c r="B35" s="26"/>
      <c r="C35" s="26"/>
      <c r="D35" s="242" t="s">
        <v>258</v>
      </c>
      <c r="E35" s="385">
        <v>0</v>
      </c>
      <c r="F35" s="385">
        <v>0</v>
      </c>
      <c r="G35" s="385">
        <v>0</v>
      </c>
      <c r="H35" s="385">
        <v>0</v>
      </c>
      <c r="I35" s="385">
        <v>0</v>
      </c>
      <c r="J35" s="385">
        <v>0</v>
      </c>
      <c r="K35" s="385">
        <v>105</v>
      </c>
      <c r="L35" s="385">
        <v>206</v>
      </c>
      <c r="M35" s="385">
        <v>284</v>
      </c>
      <c r="N35" s="385">
        <f>'[18]Eversource Elect_Table_B'!$K$22</f>
        <v>325</v>
      </c>
      <c r="O35" s="385">
        <f>'[18]Eversource Elect_Table_B'!$K49</f>
        <v>335.5</v>
      </c>
      <c r="P35" s="385">
        <f>'[18]Eversource Elect_Table_B'!$K76</f>
        <v>352.27499999999998</v>
      </c>
    </row>
    <row r="36" spans="1:16" ht="18.75" thickBot="1" x14ac:dyDescent="0.3">
      <c r="A36" s="26"/>
      <c r="B36" s="26"/>
      <c r="C36" s="26"/>
      <c r="D36" s="259" t="s">
        <v>20</v>
      </c>
      <c r="E36" s="384">
        <f t="shared" ref="E36:J36" si="7">SUM(E33:E33)</f>
        <v>225</v>
      </c>
      <c r="F36" s="384">
        <f t="shared" si="7"/>
        <v>220</v>
      </c>
      <c r="G36" s="384">
        <f t="shared" si="7"/>
        <v>215</v>
      </c>
      <c r="H36" s="384">
        <f t="shared" si="7"/>
        <v>113</v>
      </c>
      <c r="I36" s="384">
        <f t="shared" si="7"/>
        <v>78</v>
      </c>
      <c r="J36" s="384">
        <f t="shared" si="7"/>
        <v>78</v>
      </c>
      <c r="K36" s="384">
        <f t="shared" ref="K36:P36" si="8">SUM(K33:K35)</f>
        <v>4484</v>
      </c>
      <c r="L36" s="384">
        <f t="shared" si="8"/>
        <v>15026</v>
      </c>
      <c r="M36" s="384">
        <f t="shared" si="8"/>
        <v>17451</v>
      </c>
      <c r="N36" s="384">
        <f t="shared" si="8"/>
        <v>27925</v>
      </c>
      <c r="O36" s="384">
        <f t="shared" si="8"/>
        <v>26295.500000000004</v>
      </c>
      <c r="P36" s="384">
        <f t="shared" si="8"/>
        <v>28908.275000000009</v>
      </c>
    </row>
    <row r="37" spans="1:16" ht="18.75" hidden="1" thickBot="1" x14ac:dyDescent="0.3">
      <c r="A37" s="28"/>
      <c r="B37" s="26"/>
      <c r="C37" s="26"/>
      <c r="D37" s="259" t="s">
        <v>24</v>
      </c>
      <c r="E37" s="389"/>
      <c r="F37" s="389"/>
      <c r="G37" s="389"/>
      <c r="H37" s="389"/>
      <c r="I37" s="389"/>
      <c r="J37" s="389"/>
      <c r="K37" s="389"/>
      <c r="L37" s="389"/>
      <c r="M37" s="389"/>
      <c r="N37" s="389"/>
      <c r="O37" s="389"/>
      <c r="P37" s="389"/>
    </row>
    <row r="38" spans="1:16" s="7" customFormat="1" ht="18.75" hidden="1" thickBot="1" x14ac:dyDescent="0.3">
      <c r="A38" s="33"/>
      <c r="B38" s="34"/>
      <c r="C38" s="34"/>
      <c r="D38" s="376" t="s">
        <v>25</v>
      </c>
      <c r="E38" s="387">
        <f t="shared" ref="E38:J38" si="9">E25</f>
        <v>2207636</v>
      </c>
      <c r="F38" s="387">
        <f t="shared" si="9"/>
        <v>3299557</v>
      </c>
      <c r="G38" s="387">
        <f t="shared" si="9"/>
        <v>3197590</v>
      </c>
      <c r="H38" s="387">
        <f t="shared" si="9"/>
        <v>3721807</v>
      </c>
      <c r="I38" s="387">
        <f t="shared" si="9"/>
        <v>4161782</v>
      </c>
      <c r="J38" s="387">
        <f t="shared" si="9"/>
        <v>2804856</v>
      </c>
      <c r="K38" s="387">
        <f t="shared" ref="K38:P38" si="10">K25+K34</f>
        <v>4467345</v>
      </c>
      <c r="L38" s="387">
        <f t="shared" si="10"/>
        <v>4350900</v>
      </c>
      <c r="M38" s="387">
        <f t="shared" si="10"/>
        <v>3023715</v>
      </c>
      <c r="N38" s="387">
        <f t="shared" si="10"/>
        <v>694059.85480027867</v>
      </c>
      <c r="O38" s="387">
        <f t="shared" si="10"/>
        <v>321238.13278968184</v>
      </c>
      <c r="P38" s="387">
        <f t="shared" si="10"/>
        <v>287425.51239678636</v>
      </c>
    </row>
    <row r="39" spans="1:16" s="7" customFormat="1" ht="18.75" hidden="1" thickBot="1" x14ac:dyDescent="0.3">
      <c r="A39" s="33"/>
      <c r="B39" s="34"/>
      <c r="C39" s="34"/>
      <c r="D39" s="376" t="s">
        <v>26</v>
      </c>
      <c r="E39" s="387">
        <f t="shared" ref="E39:J39" si="11">E31+E33</f>
        <v>2799</v>
      </c>
      <c r="F39" s="387">
        <f t="shared" si="11"/>
        <v>3261</v>
      </c>
      <c r="G39" s="387">
        <f t="shared" si="11"/>
        <v>3085</v>
      </c>
      <c r="H39" s="387">
        <f t="shared" si="11"/>
        <v>3264</v>
      </c>
      <c r="I39" s="387">
        <f t="shared" si="11"/>
        <v>3125</v>
      </c>
      <c r="J39" s="387">
        <f t="shared" si="11"/>
        <v>2603</v>
      </c>
      <c r="K39" s="387">
        <f t="shared" ref="K39:P39" si="12">K31+K33+K35</f>
        <v>2878</v>
      </c>
      <c r="L39" s="387">
        <f t="shared" si="12"/>
        <v>2644</v>
      </c>
      <c r="M39" s="387">
        <f t="shared" si="12"/>
        <v>2133</v>
      </c>
      <c r="N39" s="387">
        <f t="shared" si="12"/>
        <v>2185.0021840826548</v>
      </c>
      <c r="O39" s="387">
        <f t="shared" si="12"/>
        <v>1902.853509410912</v>
      </c>
      <c r="P39" s="387">
        <f t="shared" si="12"/>
        <v>1976.3143777589839</v>
      </c>
    </row>
    <row r="40" spans="1:16" s="7" customFormat="1" ht="18.75" thickBot="1" x14ac:dyDescent="0.3">
      <c r="A40" s="28"/>
      <c r="B40" s="26"/>
      <c r="C40" s="26"/>
      <c r="D40" s="376" t="s">
        <v>124</v>
      </c>
      <c r="E40" s="384">
        <f t="shared" ref="E40:P40" si="13">SUM(E38:E39)</f>
        <v>2210435</v>
      </c>
      <c r="F40" s="384">
        <f t="shared" si="13"/>
        <v>3302818</v>
      </c>
      <c r="G40" s="384">
        <f t="shared" si="13"/>
        <v>3200675</v>
      </c>
      <c r="H40" s="384">
        <f t="shared" si="13"/>
        <v>3725071</v>
      </c>
      <c r="I40" s="384">
        <f t="shared" si="13"/>
        <v>4164907</v>
      </c>
      <c r="J40" s="384">
        <f t="shared" si="13"/>
        <v>2807459</v>
      </c>
      <c r="K40" s="384">
        <f t="shared" si="13"/>
        <v>4470223</v>
      </c>
      <c r="L40" s="384">
        <f t="shared" si="13"/>
        <v>4353544</v>
      </c>
      <c r="M40" s="384">
        <f t="shared" si="13"/>
        <v>3025848</v>
      </c>
      <c r="N40" s="384">
        <f t="shared" si="13"/>
        <v>696244.85698436131</v>
      </c>
      <c r="O40" s="384">
        <f t="shared" si="13"/>
        <v>323140.98629909276</v>
      </c>
      <c r="P40" s="384">
        <f t="shared" si="13"/>
        <v>289401.82677454536</v>
      </c>
    </row>
    <row r="41" spans="1:16" s="7" customFormat="1" ht="18.75" thickBot="1" x14ac:dyDescent="0.3">
      <c r="A41" s="28"/>
      <c r="B41" s="26"/>
      <c r="C41" s="26"/>
      <c r="D41" s="376" t="s">
        <v>99</v>
      </c>
      <c r="E41" s="384">
        <f t="shared" ref="E41:P41" si="14">E40-E33</f>
        <v>2210210</v>
      </c>
      <c r="F41" s="384">
        <f t="shared" si="14"/>
        <v>3302598</v>
      </c>
      <c r="G41" s="384">
        <f t="shared" si="14"/>
        <v>3200460</v>
      </c>
      <c r="H41" s="384">
        <f t="shared" si="14"/>
        <v>3724958</v>
      </c>
      <c r="I41" s="384">
        <f t="shared" si="14"/>
        <v>4164829</v>
      </c>
      <c r="J41" s="384">
        <f t="shared" si="14"/>
        <v>2807381</v>
      </c>
      <c r="K41" s="384">
        <f t="shared" si="14"/>
        <v>4470223</v>
      </c>
      <c r="L41" s="384">
        <f t="shared" si="14"/>
        <v>4353544</v>
      </c>
      <c r="M41" s="384">
        <f t="shared" si="14"/>
        <v>3025848</v>
      </c>
      <c r="N41" s="384">
        <f t="shared" si="14"/>
        <v>696244.85698436131</v>
      </c>
      <c r="O41" s="384">
        <f t="shared" si="14"/>
        <v>323140.98629909276</v>
      </c>
      <c r="P41" s="384">
        <f t="shared" si="14"/>
        <v>289401.82677454536</v>
      </c>
    </row>
    <row r="42" spans="1:16" ht="7.5" customHeight="1" x14ac:dyDescent="0.25">
      <c r="A42" s="35"/>
      <c r="B42" s="35"/>
      <c r="C42" s="35"/>
      <c r="D42" s="66"/>
      <c r="E42" s="11"/>
      <c r="F42" s="11"/>
      <c r="G42" s="11"/>
      <c r="H42" s="11"/>
      <c r="I42" s="11"/>
      <c r="J42" s="11"/>
      <c r="K42" s="11"/>
      <c r="L42" s="11"/>
      <c r="M42" s="11"/>
      <c r="N42" s="11"/>
      <c r="O42" s="11"/>
      <c r="P42" s="11"/>
    </row>
    <row r="43" spans="1:16" ht="15" x14ac:dyDescent="0.25">
      <c r="A43" s="35"/>
      <c r="B43" s="35"/>
      <c r="C43" s="35"/>
      <c r="D43" s="67"/>
      <c r="E43" s="66"/>
      <c r="F43" s="66"/>
      <c r="G43" s="66"/>
      <c r="H43" s="66"/>
      <c r="I43" s="66"/>
      <c r="J43" s="66"/>
      <c r="K43" s="66"/>
      <c r="L43" s="66" t="s">
        <v>13</v>
      </c>
      <c r="M43" s="66"/>
      <c r="N43" s="66"/>
      <c r="O43" s="66"/>
      <c r="P43" s="66"/>
    </row>
    <row r="44" spans="1:16" ht="15.75" x14ac:dyDescent="0.25">
      <c r="A44" s="35"/>
      <c r="B44" s="35"/>
      <c r="C44" s="35"/>
      <c r="D44" s="87"/>
    </row>
    <row r="45" spans="1:16" ht="15.75" x14ac:dyDescent="0.25">
      <c r="A45" s="35"/>
      <c r="B45" s="35"/>
      <c r="C45" s="35"/>
      <c r="D45" s="87"/>
      <c r="E45" s="66"/>
      <c r="F45" s="66"/>
      <c r="G45" s="66"/>
      <c r="H45" s="66"/>
      <c r="I45" s="66"/>
      <c r="J45" s="66"/>
      <c r="K45" s="66"/>
      <c r="L45" s="66"/>
      <c r="M45" s="66"/>
      <c r="N45" s="66"/>
      <c r="O45" s="66"/>
      <c r="P45" s="66"/>
    </row>
    <row r="46" spans="1:16" ht="15.75" x14ac:dyDescent="0.25">
      <c r="A46" s="35"/>
      <c r="B46" s="35"/>
      <c r="C46" s="35"/>
      <c r="D46" s="87"/>
      <c r="E46" s="66"/>
      <c r="F46" s="66"/>
      <c r="G46" s="66"/>
      <c r="H46" s="66"/>
      <c r="I46" s="66"/>
      <c r="J46" s="66"/>
      <c r="K46" s="66"/>
      <c r="L46" s="66"/>
      <c r="M46" s="66"/>
      <c r="N46" s="66"/>
      <c r="O46" s="66"/>
      <c r="P46" s="66"/>
    </row>
    <row r="47" spans="1:16" ht="15.75" x14ac:dyDescent="0.25">
      <c r="A47" s="35"/>
      <c r="B47" s="35"/>
      <c r="C47" s="35"/>
      <c r="D47" s="87"/>
      <c r="E47" s="66"/>
      <c r="F47" s="66"/>
      <c r="G47" s="66"/>
      <c r="H47" s="66"/>
      <c r="I47" s="66"/>
      <c r="J47" s="66"/>
      <c r="K47" s="66"/>
      <c r="L47" s="66"/>
      <c r="M47" s="66"/>
      <c r="N47" s="66"/>
      <c r="O47" s="66"/>
      <c r="P47" s="66"/>
    </row>
    <row r="48" spans="1:16" ht="15.75" x14ac:dyDescent="0.25">
      <c r="A48" s="35"/>
      <c r="B48" s="35"/>
      <c r="C48" s="35"/>
      <c r="D48" s="87"/>
      <c r="E48" s="66"/>
      <c r="F48" s="66"/>
      <c r="G48" s="66"/>
      <c r="H48" s="66"/>
      <c r="I48" s="66"/>
      <c r="J48" s="66"/>
      <c r="K48" s="66"/>
      <c r="L48" s="66"/>
      <c r="M48" s="66"/>
      <c r="N48" s="66"/>
      <c r="O48" s="66"/>
      <c r="P48" s="66"/>
    </row>
    <row r="49" spans="1:16" ht="15.75" x14ac:dyDescent="0.25">
      <c r="A49" s="35"/>
      <c r="B49" s="35"/>
      <c r="C49" s="35"/>
      <c r="D49" s="87"/>
      <c r="E49" s="66"/>
      <c r="F49" s="66"/>
      <c r="G49" s="66"/>
      <c r="H49" s="66"/>
      <c r="I49" s="66"/>
      <c r="J49" s="66"/>
      <c r="K49" s="66"/>
      <c r="L49" s="66"/>
      <c r="M49" s="66"/>
      <c r="N49" s="66"/>
      <c r="O49" s="66"/>
      <c r="P49" s="66"/>
    </row>
    <row r="50" spans="1:16" ht="15.75" x14ac:dyDescent="0.25">
      <c r="A50" s="35"/>
      <c r="B50" s="35"/>
      <c r="C50" s="35"/>
      <c r="D50" s="87"/>
      <c r="E50" s="66"/>
      <c r="F50" s="66"/>
      <c r="G50" s="66"/>
      <c r="H50" s="66"/>
      <c r="I50" s="66"/>
      <c r="J50" s="66"/>
      <c r="K50" s="66"/>
      <c r="L50" s="66"/>
      <c r="M50" s="66"/>
      <c r="N50" s="66"/>
      <c r="O50" s="66"/>
      <c r="P50" s="66"/>
    </row>
    <row r="51" spans="1:16" ht="15.75" x14ac:dyDescent="0.25">
      <c r="A51" s="35"/>
      <c r="B51" s="35"/>
      <c r="C51" s="35"/>
      <c r="D51" s="87"/>
      <c r="E51" s="66"/>
      <c r="F51" s="66"/>
      <c r="G51" s="66"/>
      <c r="H51" s="66"/>
      <c r="I51" s="66"/>
      <c r="J51" s="66"/>
      <c r="K51" s="66"/>
      <c r="L51" s="66"/>
      <c r="M51" s="66"/>
      <c r="N51" s="66"/>
      <c r="O51" s="66"/>
      <c r="P51" s="66"/>
    </row>
    <row r="52" spans="1:16" ht="15.75" x14ac:dyDescent="0.25">
      <c r="A52" s="35"/>
      <c r="B52" s="35"/>
      <c r="C52" s="35"/>
      <c r="D52" s="87"/>
      <c r="E52" s="66"/>
      <c r="F52" s="66"/>
      <c r="G52" s="66"/>
      <c r="H52" s="66"/>
      <c r="I52" s="66"/>
      <c r="J52" s="66"/>
      <c r="K52" s="66"/>
      <c r="L52" s="66"/>
      <c r="M52" s="66"/>
      <c r="N52" s="66"/>
      <c r="O52" s="66"/>
      <c r="P52" s="66"/>
    </row>
    <row r="53" spans="1:16" ht="15" x14ac:dyDescent="0.2">
      <c r="A53" s="3"/>
      <c r="B53" s="3"/>
      <c r="C53" s="3"/>
      <c r="D53" s="2"/>
    </row>
    <row r="54" spans="1:16" ht="15" x14ac:dyDescent="0.2">
      <c r="A54" s="3"/>
      <c r="B54" s="3"/>
      <c r="C54" s="3"/>
      <c r="D54" s="5"/>
    </row>
    <row r="55" spans="1:16" ht="15" x14ac:dyDescent="0.2">
      <c r="A55" s="3"/>
      <c r="B55" s="3"/>
      <c r="C55" s="3"/>
      <c r="D55" s="5"/>
    </row>
  </sheetData>
  <mergeCells count="8">
    <mergeCell ref="D32:P32"/>
    <mergeCell ref="N4:P4"/>
    <mergeCell ref="D8:P8"/>
    <mergeCell ref="D26:P26"/>
    <mergeCell ref="D2:P2"/>
    <mergeCell ref="D3:P3"/>
    <mergeCell ref="D4:M4"/>
    <mergeCell ref="D11:M11"/>
  </mergeCells>
  <printOptions horizontalCentered="1"/>
  <pageMargins left="0.5" right="0.5" top="0.75" bottom="0.75" header="0.5" footer="0.25"/>
  <pageSetup scale="48"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theme="9" tint="0.39997558519241921"/>
  </sheetPr>
  <dimension ref="A2:P48"/>
  <sheetViews>
    <sheetView topLeftCell="C1" zoomScale="70" zoomScaleNormal="70" workbookViewId="0">
      <selection activeCell="P11" sqref="P11"/>
    </sheetView>
  </sheetViews>
  <sheetFormatPr defaultRowHeight="12.75" x14ac:dyDescent="0.2"/>
  <cols>
    <col min="1" max="1" width="4.85546875" hidden="1" customWidth="1"/>
    <col min="2" max="2" width="3.28515625" hidden="1" customWidth="1"/>
    <col min="3" max="3" width="3.28515625" customWidth="1"/>
    <col min="4" max="4" width="58.42578125" customWidth="1"/>
    <col min="5" max="5" width="16" hidden="1" customWidth="1"/>
    <col min="6" max="7" width="16" bestFit="1" customWidth="1"/>
    <col min="8" max="8" width="16.42578125" customWidth="1"/>
    <col min="9" max="9" width="16.28515625" customWidth="1"/>
    <col min="10" max="16" width="16.5703125" customWidth="1"/>
  </cols>
  <sheetData>
    <row r="2" spans="1:16" ht="23.25" x14ac:dyDescent="0.35">
      <c r="D2" s="869" t="s">
        <v>180</v>
      </c>
      <c r="E2" s="869"/>
      <c r="F2" s="869"/>
      <c r="G2" s="869"/>
      <c r="H2" s="869"/>
      <c r="I2" s="869"/>
      <c r="J2" s="869"/>
      <c r="K2" s="869"/>
      <c r="L2" s="869"/>
      <c r="M2" s="869"/>
      <c r="N2" s="955"/>
      <c r="O2" s="955"/>
      <c r="P2" s="955"/>
    </row>
    <row r="3" spans="1:16" ht="23.25" x14ac:dyDescent="0.35">
      <c r="D3" s="950" t="s">
        <v>183</v>
      </c>
      <c r="E3" s="950"/>
      <c r="F3" s="950"/>
      <c r="G3" s="950"/>
      <c r="H3" s="950"/>
      <c r="I3" s="950"/>
      <c r="J3" s="950"/>
      <c r="K3" s="950"/>
      <c r="L3" s="950"/>
      <c r="M3" s="950"/>
      <c r="N3" s="955"/>
      <c r="O3" s="955"/>
      <c r="P3" s="955"/>
    </row>
    <row r="4" spans="1:16" x14ac:dyDescent="0.2">
      <c r="D4" s="961" t="s">
        <v>13</v>
      </c>
      <c r="E4" s="961"/>
      <c r="F4" s="961"/>
      <c r="G4" s="961"/>
      <c r="H4" s="961"/>
      <c r="I4" s="961"/>
      <c r="J4" s="961"/>
      <c r="K4" s="961"/>
      <c r="L4" s="961"/>
      <c r="M4" s="961"/>
      <c r="N4" s="578"/>
      <c r="O4" s="578"/>
      <c r="P4" s="578"/>
    </row>
    <row r="5" spans="1:16" ht="18" x14ac:dyDescent="0.25">
      <c r="D5" s="290"/>
      <c r="E5" s="290">
        <v>2013</v>
      </c>
      <c r="F5" s="290">
        <v>2014</v>
      </c>
      <c r="G5" s="290">
        <v>2015</v>
      </c>
      <c r="H5" s="290">
        <v>2016</v>
      </c>
      <c r="I5" s="290">
        <v>2017</v>
      </c>
      <c r="J5" s="290">
        <v>2018</v>
      </c>
      <c r="K5" s="290">
        <v>2019</v>
      </c>
      <c r="L5" s="290">
        <v>2020</v>
      </c>
      <c r="M5" s="290">
        <v>2021</v>
      </c>
      <c r="N5" s="290">
        <v>2022</v>
      </c>
      <c r="O5" s="290">
        <v>2023</v>
      </c>
      <c r="P5" s="290">
        <v>2024</v>
      </c>
    </row>
    <row r="6" spans="1:16" ht="18.75" thickBot="1" x14ac:dyDescent="0.3">
      <c r="D6" s="371" t="s">
        <v>15</v>
      </c>
      <c r="E6" s="372" t="s">
        <v>98</v>
      </c>
      <c r="F6" s="372" t="s">
        <v>98</v>
      </c>
      <c r="G6" s="372" t="s">
        <v>98</v>
      </c>
      <c r="H6" s="372" t="s">
        <v>98</v>
      </c>
      <c r="I6" s="372" t="s">
        <v>98</v>
      </c>
      <c r="J6" s="372" t="s">
        <v>98</v>
      </c>
      <c r="K6" s="372" t="s">
        <v>98</v>
      </c>
      <c r="L6" s="372" t="s">
        <v>98</v>
      </c>
      <c r="M6" s="372" t="s">
        <v>98</v>
      </c>
      <c r="N6" s="372" t="s">
        <v>269</v>
      </c>
      <c r="O6" s="372" t="s">
        <v>269</v>
      </c>
      <c r="P6" s="372" t="s">
        <v>269</v>
      </c>
    </row>
    <row r="7" spans="1:16" ht="21.75" customHeight="1" thickBot="1" x14ac:dyDescent="0.3">
      <c r="D7" s="957" t="s">
        <v>15</v>
      </c>
      <c r="E7" s="957"/>
      <c r="F7" s="957"/>
      <c r="G7" s="957"/>
      <c r="H7" s="957"/>
      <c r="I7" s="957"/>
      <c r="J7" s="957"/>
      <c r="K7" s="957"/>
      <c r="L7" s="957"/>
      <c r="M7" s="957"/>
      <c r="N7" s="952"/>
      <c r="O7" s="952"/>
      <c r="P7" s="952"/>
    </row>
    <row r="8" spans="1:16" ht="18.75" thickBot="1" x14ac:dyDescent="0.3">
      <c r="A8" s="24" t="s">
        <v>43</v>
      </c>
      <c r="D8" s="238" t="s">
        <v>162</v>
      </c>
      <c r="E8" s="416">
        <f>'2014-25 ES CT E Table D-$'!E8/'2014-24 ES CT E Table D1-kW'!E8</f>
        <v>1162.4037728369312</v>
      </c>
      <c r="F8" s="416">
        <f>'2014-25 ES CT E Table D-$'!F8/'2014-24 ES CT E Table D1-kW'!F8</f>
        <v>2024.8716614910911</v>
      </c>
      <c r="G8" s="416">
        <f>'2014-25 ES CT E Table D-$'!G8/'2014-24 ES CT E Table D1-kW'!G8</f>
        <v>1723.1184094626904</v>
      </c>
      <c r="H8" s="416">
        <f>'2014-25 ES CT E Table D-$'!H8/'2014-24 ES CT E Table D1-kW'!H8</f>
        <v>1464.5416678975512</v>
      </c>
      <c r="I8" s="416">
        <f>'2014-25 ES CT E Table D-$'!I8/'2014-24 ES CT E Table D1-kW'!I8</f>
        <v>1062.4322166105333</v>
      </c>
      <c r="J8" s="416">
        <f>'2014-25 ES CT E Table D-$'!J8/'2014-24 ES CT E Table D1-kW'!J8</f>
        <v>1902.0969997087095</v>
      </c>
      <c r="K8" s="416">
        <f>'2014-25 ES CT E Table D-$'!K8/'2014-24 ES CT E Table D1-kW'!K8</f>
        <v>2077.921296943231</v>
      </c>
      <c r="L8" s="416">
        <f>'2014-25 ES CT E Table D-$'!L8/'2014-24 ES CT E Table D1-kW'!L8</f>
        <v>2253.3716391610365</v>
      </c>
      <c r="M8" s="416">
        <f>'2014-25 ES CT E Table D-$'!M8/'2014-24 ES CT E Table D1-kW'!M8</f>
        <v>1601.8540365377771</v>
      </c>
      <c r="N8" s="416">
        <f>'2014-25 ES CT E Table D-$'!N8/'2014-24 ES CT E Table D1-kW'!N8</f>
        <v>2844.5105698747566</v>
      </c>
      <c r="O8" s="416">
        <f>'2014-25 ES CT E Table D-$'!O8/'2014-24 ES CT E Table D1-kW'!O8</f>
        <v>4509.9896280366829</v>
      </c>
      <c r="P8" s="416">
        <f>'2014-25 ES CT E Table D-$'!P8/'2014-24 ES CT E Table D1-kW'!P8</f>
        <v>5063.9525315113397</v>
      </c>
    </row>
    <row r="9" spans="1:16" ht="18.75" thickBot="1" x14ac:dyDescent="0.3">
      <c r="A9" s="24" t="s">
        <v>43</v>
      </c>
      <c r="D9" s="243" t="s">
        <v>158</v>
      </c>
      <c r="E9" s="416">
        <f>'2014-25 ES CT E Table D-$'!E9/'2014-24 ES CT E Table D1-kW'!E9</f>
        <v>2552.7673437416552</v>
      </c>
      <c r="F9" s="416">
        <f>'2014-25 ES CT E Table D-$'!F9/'2014-24 ES CT E Table D1-kW'!F9</f>
        <v>1610.9861086940944</v>
      </c>
      <c r="G9" s="416">
        <f>'2014-25 ES CT E Table D-$'!G9/'2014-24 ES CT E Table D1-kW'!G9</f>
        <v>2712.2859390660533</v>
      </c>
      <c r="H9" s="416">
        <f>'2014-25 ES CT E Table D-$'!H9/'2014-24 ES CT E Table D1-kW'!H9</f>
        <v>2471.9877784173937</v>
      </c>
      <c r="I9" s="416">
        <f>'2014-25 ES CT E Table D-$'!I9/'2014-24 ES CT E Table D1-kW'!I9</f>
        <v>2306.2268149106621</v>
      </c>
      <c r="J9" s="416">
        <f>'2014-25 ES CT E Table D-$'!J9/'2014-24 ES CT E Table D1-kW'!J9</f>
        <v>2441.0764119601331</v>
      </c>
      <c r="K9" s="416">
        <f>'2014-25 ES CT E Table D-$'!K9/'2014-24 ES CT E Table D1-kW'!K9</f>
        <v>1510.3595245170877</v>
      </c>
      <c r="L9" s="416">
        <f>'2014-25 ES CT E Table D-$'!L9/'2014-24 ES CT E Table D1-kW'!L9</f>
        <v>2463.213790652535</v>
      </c>
      <c r="M9" s="416">
        <f>'2014-25 ES CT E Table D-$'!M9/'2014-24 ES CT E Table D1-kW'!M9</f>
        <v>3780.2766048589433</v>
      </c>
      <c r="N9" s="416">
        <f>'2014-25 ES CT E Table D-$'!N9/'2014-24 ES CT E Table D1-kW'!N9</f>
        <v>7309.9963758671083</v>
      </c>
      <c r="O9" s="416">
        <f>'2014-25 ES CT E Table D-$'!O9/'2014-24 ES CT E Table D1-kW'!O9</f>
        <v>8886.9679388870718</v>
      </c>
      <c r="P9" s="416">
        <f>'2014-25 ES CT E Table D-$'!P9/'2014-24 ES CT E Table D1-kW'!P9</f>
        <v>11428.783566890914</v>
      </c>
    </row>
    <row r="10" spans="1:16" ht="54.75" thickBot="1" x14ac:dyDescent="0.3">
      <c r="A10" s="24" t="s">
        <v>43</v>
      </c>
      <c r="D10" s="279" t="s">
        <v>419</v>
      </c>
      <c r="E10" s="416">
        <f>'2014-25 ES CT E Table D-$'!E10/'2014-24 ES CT E Table D1-kW'!E10</f>
        <v>5625.6892863405228</v>
      </c>
      <c r="F10" s="416">
        <f>'2014-25 ES CT E Table D-$'!F10/'2014-24 ES CT E Table D1-kW'!F10</f>
        <v>5489.0248707214969</v>
      </c>
      <c r="G10" s="416">
        <f>'2014-25 ES CT E Table D-$'!G10/'2014-24 ES CT E Table D1-kW'!G10</f>
        <v>5452.231884057971</v>
      </c>
      <c r="H10" s="416">
        <f>'2014-25 ES CT E Table D-$'!H10/'2014-24 ES CT E Table D1-kW'!H10</f>
        <v>6650.1954733366047</v>
      </c>
      <c r="I10" s="416">
        <f>'2014-25 ES CT E Table D-$'!I10/'2014-24 ES CT E Table D1-kW'!I10</f>
        <v>5277.0283089148343</v>
      </c>
      <c r="J10" s="416">
        <f>'2014-25 ES CT E Table D-$'!J10/'2014-24 ES CT E Table D1-kW'!J10</f>
        <v>4484.4299349240782</v>
      </c>
      <c r="K10" s="416">
        <f>'2014-25 ES CT E Table D-$'!K10/'2014-24 ES CT E Table D1-kW'!K10</f>
        <v>4581.3628346738515</v>
      </c>
      <c r="L10" s="416">
        <f>'2014-25 ES CT E Table D-$'!L10/'2014-24 ES CT E Table D1-kW'!L10</f>
        <v>9897.6581629629636</v>
      </c>
      <c r="M10" s="416">
        <f>'2014-25 ES CT E Table D-$'!M10/'2014-24 ES CT E Table D1-kW'!M10</f>
        <v>11698.590146142629</v>
      </c>
      <c r="N10" s="416">
        <f>'2014-25 ES CT E Table D-$'!N10/'2014-24 ES CT E Table D1-kW'!N10</f>
        <v>13906.856280142762</v>
      </c>
      <c r="O10" s="416">
        <f>'2014-25 ES CT E Table D-$'!O10/'2014-24 ES CT E Table D1-kW'!O10</f>
        <v>17096.6295521024</v>
      </c>
      <c r="P10" s="416">
        <f>'2014-25 ES CT E Table D-$'!P10/'2014-24 ES CT E Table D1-kW'!P10</f>
        <v>16774.024232168282</v>
      </c>
    </row>
    <row r="11" spans="1:16" ht="18.75" thickBot="1" x14ac:dyDescent="0.3">
      <c r="A11" s="24"/>
      <c r="D11" s="279" t="s">
        <v>520</v>
      </c>
      <c r="E11" s="416">
        <v>0</v>
      </c>
      <c r="F11" s="416">
        <v>0</v>
      </c>
      <c r="G11" s="416">
        <v>0</v>
      </c>
      <c r="H11" s="416">
        <f>'2014-25 ES CT E Table D-$'!H11/'2014-24 ES CT E Table D1-kW'!H11</f>
        <v>5344.2580817684811</v>
      </c>
      <c r="I11" s="416">
        <f>'2014-25 ES CT E Table D-$'!I11/'2014-24 ES CT E Table D1-kW'!I11</f>
        <v>5030.3190004222888</v>
      </c>
      <c r="J11" s="416">
        <f>'2014-25 ES CT E Table D-$'!J11/'2014-24 ES CT E Table D1-kW'!J11</f>
        <v>5397.4426666666668</v>
      </c>
      <c r="K11" s="416">
        <f>'2014-25 ES CT E Table D-$'!K11/'2014-24 ES CT E Table D1-kW'!K11</f>
        <v>5181.447058823529</v>
      </c>
      <c r="L11" s="416">
        <f>'2014-25 ES CT E Table D-$'!L11/'2014-24 ES CT E Table D1-kW'!L11</f>
        <v>8366.6847156827243</v>
      </c>
      <c r="M11" s="416">
        <f>'2014-25 ES CT E Table D-$'!M11/'2014-24 ES CT E Table D1-kW'!M11</f>
        <v>12213.937888575809</v>
      </c>
      <c r="N11" s="416">
        <f>'2014-25 ES CT E Table D-$'!N11/'2014-24 ES CT E Table D1-kW'!N11</f>
        <v>7681.9573694198316</v>
      </c>
      <c r="O11" s="416">
        <f>'2014-25 ES CT E Table D-$'!O11/'2014-24 ES CT E Table D1-kW'!O11</f>
        <v>12450.311442633118</v>
      </c>
      <c r="P11" s="416">
        <f>'2014-25 ES CT E Table D-$'!P11/'2014-24 ES CT E Table D1-kW'!P11</f>
        <v>21990.388081722627</v>
      </c>
    </row>
    <row r="12" spans="1:16" ht="18.75" thickBot="1" x14ac:dyDescent="0.3">
      <c r="A12" s="27" t="s">
        <v>43</v>
      </c>
      <c r="D12" s="238" t="s">
        <v>276</v>
      </c>
      <c r="E12" s="416">
        <f>'2014-25 ES CT E Table D-$'!E12/'2014-24 ES CT E Table D1-kW'!E12</f>
        <v>15738.585467491346</v>
      </c>
      <c r="F12" s="416">
        <f>'2014-25 ES CT E Table D-$'!F12/'2014-24 ES CT E Table D1-kW'!F12</f>
        <v>17458.21013226853</v>
      </c>
      <c r="G12" s="416">
        <f>'2014-25 ES CT E Table D-$'!G12/'2014-24 ES CT E Table D1-kW'!G12</f>
        <v>13061.066265060241</v>
      </c>
      <c r="H12" s="416">
        <f>'2014-25 ES CT E Table D-$'!H12/'2014-24 ES CT E Table D1-kW'!H12</f>
        <v>11451.410955908628</v>
      </c>
      <c r="I12" s="416">
        <f>'2014-25 ES CT E Table D-$'!I12/'2014-24 ES CT E Table D1-kW'!I12</f>
        <v>10250.701762290972</v>
      </c>
      <c r="J12" s="416">
        <f>'2014-25 ES CT E Table D-$'!J12/'2014-24 ES CT E Table D1-kW'!J12</f>
        <v>8405.6876811594211</v>
      </c>
      <c r="K12" s="416">
        <f>'2014-25 ES CT E Table D-$'!K12/'2014-24 ES CT E Table D1-kW'!K12</f>
        <v>9542.8034438935338</v>
      </c>
      <c r="L12" s="416">
        <f>'2014-25 ES CT E Table D-$'!L12/'2014-24 ES CT E Table D1-kW'!L12</f>
        <v>21427.497328412221</v>
      </c>
      <c r="M12" s="416">
        <f>'2014-25 ES CT E Table D-$'!M12/'2014-24 ES CT E Table D1-kW'!M12</f>
        <v>21351.58193870269</v>
      </c>
      <c r="N12" s="416">
        <f>'2014-25 ES CT E Table D-$'!N12/'2014-24 ES CT E Table D1-kW'!N12</f>
        <v>27390.009776968687</v>
      </c>
      <c r="O12" s="416">
        <f>'2014-25 ES CT E Table D-$'!O12/'2014-24 ES CT E Table D1-kW'!O12</f>
        <v>47042.619795656821</v>
      </c>
      <c r="P12" s="416">
        <f>'2014-25 ES CT E Table D-$'!P12/'2014-24 ES CT E Table D1-kW'!P12</f>
        <v>61384.194315111788</v>
      </c>
    </row>
    <row r="13" spans="1:16" ht="18.75" thickBot="1" x14ac:dyDescent="0.3">
      <c r="A13" s="27"/>
      <c r="D13" s="238" t="s">
        <v>140</v>
      </c>
      <c r="E13" s="416">
        <v>0</v>
      </c>
      <c r="F13" s="416">
        <f>'2014-25 ES CT E Table D-$'!F13/'2014-24 ES CT E Table D1-kW'!F13</f>
        <v>361.81374150953582</v>
      </c>
      <c r="G13" s="416">
        <f>'2014-25 ES CT E Table D-$'!G13/'2014-24 ES CT E Table D1-kW'!G13</f>
        <v>191.06062300319488</v>
      </c>
      <c r="H13" s="416">
        <f>'2014-25 ES CT E Table D-$'!H13/'2014-24 ES CT E Table D1-kW'!H13</f>
        <v>715.41976210324924</v>
      </c>
      <c r="I13" s="416">
        <f>'2014-25 ES CT E Table D-$'!I13/'2014-24 ES CT E Table D1-kW'!I13</f>
        <v>726.4406789683311</v>
      </c>
      <c r="J13" s="416">
        <f>'2014-25 ES CT E Table D-$'!J13/'2014-24 ES CT E Table D1-kW'!J13</f>
        <v>209.76196172248802</v>
      </c>
      <c r="K13" s="416">
        <f>'2014-25 ES CT E Table D-$'!K13/'2014-24 ES CT E Table D1-kW'!K13</f>
        <v>723.93256688358645</v>
      </c>
      <c r="L13" s="416">
        <v>0</v>
      </c>
      <c r="M13" s="416">
        <v>0</v>
      </c>
      <c r="N13" s="416">
        <f>'2014-25 ES CT E Table D-$'!N13/'2014-24 ES CT E Table D1-kW'!N13</f>
        <v>1102.6573426573427</v>
      </c>
      <c r="O13" s="416">
        <f>'2014-25 ES CT E Table D-$'!O13/'2014-24 ES CT E Table D1-kW'!O13</f>
        <v>1102.6573426573427</v>
      </c>
      <c r="P13" s="416">
        <f>'2014-25 ES CT E Table D-$'!P13/'2014-24 ES CT E Table D1-kW'!P13</f>
        <v>1102.6573426573427</v>
      </c>
    </row>
    <row r="14" spans="1:16" ht="18.75" thickBot="1" x14ac:dyDescent="0.3">
      <c r="D14" s="245" t="s">
        <v>275</v>
      </c>
      <c r="E14" s="415">
        <f>'2014-25 ES CT E Table D-$'!E14/'2014-24 ES CT E Table D1-kW'!E14</f>
        <v>3489.4510843528747</v>
      </c>
      <c r="F14" s="415">
        <f>'2014-25 ES CT E Table D-$'!F14/'2014-24 ES CT E Table D1-kW'!F14</f>
        <v>2893.5011537128407</v>
      </c>
      <c r="G14" s="415">
        <f>'2014-25 ES CT E Table D-$'!G14/'2014-24 ES CT E Table D1-kW'!G14</f>
        <v>2100.9883053392878</v>
      </c>
      <c r="H14" s="415">
        <f>'2014-25 ES CT E Table D-$'!H14/'2014-24 ES CT E Table D1-kW'!H14</f>
        <v>3041.8641172251664</v>
      </c>
      <c r="I14" s="415">
        <f>'2014-25 ES CT E Table D-$'!I14/'2014-24 ES CT E Table D1-kW'!I14</f>
        <v>2568.834352964609</v>
      </c>
      <c r="J14" s="415">
        <f>'2014-25 ES CT E Table D-$'!J14/'2014-24 ES CT E Table D1-kW'!J14</f>
        <v>3124.8174483553507</v>
      </c>
      <c r="K14" s="415">
        <f>'2014-25 ES CT E Table D-$'!K14/'2014-24 ES CT E Table D1-kW'!K14</f>
        <v>3659.3702238433484</v>
      </c>
      <c r="L14" s="415">
        <f>'2014-25 ES CT E Table D-$'!L14/'2014-24 ES CT E Table D1-kW'!L14</f>
        <v>5842.6964105747047</v>
      </c>
      <c r="M14" s="415">
        <f>'2014-25 ES CT E Table D-$'!M14/'2014-24 ES CT E Table D1-kW'!M14</f>
        <v>7041.9829906434725</v>
      </c>
      <c r="N14" s="415">
        <f>'2014-25 ES CT E Table D-$'!N14/'2014-24 ES CT E Table D1-kW'!N14</f>
        <v>10252.619177160768</v>
      </c>
      <c r="O14" s="415">
        <f>'2014-25 ES CT E Table D-$'!O14/'2014-24 ES CT E Table D1-kW'!O14</f>
        <v>14679.116185302368</v>
      </c>
      <c r="P14" s="415">
        <f>'2014-25 ES CT E Table D-$'!P14/'2014-24 ES CT E Table D1-kW'!P14</f>
        <v>18066.002974076284</v>
      </c>
    </row>
    <row r="15" spans="1:16" ht="18.75" customHeight="1" thickBot="1" x14ac:dyDescent="0.3">
      <c r="D15" s="956" t="s">
        <v>16</v>
      </c>
      <c r="E15" s="956"/>
      <c r="F15" s="956"/>
      <c r="G15" s="956"/>
      <c r="H15" s="956"/>
      <c r="I15" s="956"/>
      <c r="J15" s="956"/>
      <c r="K15" s="956"/>
      <c r="L15" s="956"/>
      <c r="M15" s="956"/>
      <c r="N15" s="952"/>
      <c r="O15" s="952"/>
      <c r="P15" s="952"/>
    </row>
    <row r="16" spans="1:16" ht="18.75" thickBot="1" x14ac:dyDescent="0.3">
      <c r="A16" s="29" t="s">
        <v>44</v>
      </c>
      <c r="D16" s="238" t="s">
        <v>163</v>
      </c>
      <c r="E16" s="416">
        <f>'2014-25 ES CT E Table D-$'!E16/'2014-24 ES CT E Table D1-kW'!E16</f>
        <v>1524.8495105298175</v>
      </c>
      <c r="F16" s="416">
        <f>'2014-25 ES CT E Table D-$'!F16/'2014-24 ES CT E Table D1-kW'!F16</f>
        <v>1780.4542961632235</v>
      </c>
      <c r="G16" s="416">
        <f>'2014-25 ES CT E Table D-$'!G16/'2014-24 ES CT E Table D1-kW'!G16</f>
        <v>1706.9793045192173</v>
      </c>
      <c r="H16" s="416">
        <f>'2014-25 ES CT E Table D-$'!H16/'2014-24 ES CT E Table D1-kW'!H16</f>
        <v>1871.8968655977453</v>
      </c>
      <c r="I16" s="416">
        <f>'2014-25 ES CT E Table D-$'!I16/'2014-24 ES CT E Table D1-kW'!I16</f>
        <v>1695.796762045155</v>
      </c>
      <c r="J16" s="416">
        <f>'2014-25 ES CT E Table D-$'!J16/'2014-24 ES CT E Table D1-kW'!J16</f>
        <v>2386.7901475350845</v>
      </c>
      <c r="K16" s="416">
        <f>'2014-25 ES CT E Table D-$'!K16/'2014-24 ES CT E Table D1-kW'!K16</f>
        <v>2454.2517500648173</v>
      </c>
      <c r="L16" s="416">
        <f>'2014-25 ES CT E Table D-$'!L16/'2014-24 ES CT E Table D1-kW'!L16</f>
        <v>3895.0091842535071</v>
      </c>
      <c r="M16" s="416">
        <f>'2014-25 ES CT E Table D-$'!M16/'2014-24 ES CT E Table D1-kW'!M16</f>
        <v>2484.3977160145255</v>
      </c>
      <c r="N16" s="416">
        <f>'2014-25 ES CT E Table D-$'!N16/'2014-24 ES CT E Table D1-kW'!N16</f>
        <v>2649.2864353107002</v>
      </c>
      <c r="O16" s="416">
        <f>'2014-25 ES CT E Table D-$'!O16/'2014-24 ES CT E Table D1-kW'!O16</f>
        <v>2944.1230395615867</v>
      </c>
      <c r="P16" s="416">
        <f>'2014-25 ES CT E Table D-$'!P16/'2014-24 ES CT E Table D1-kW'!P16</f>
        <v>2747.9632224780448</v>
      </c>
    </row>
    <row r="17" spans="1:16" ht="18.75" thickBot="1" x14ac:dyDescent="0.3">
      <c r="A17" s="29" t="s">
        <v>44</v>
      </c>
      <c r="D17" s="238" t="s">
        <v>164</v>
      </c>
      <c r="E17" s="416">
        <f>'2014-25 ES CT E Table D-$'!E17/'2014-24 ES CT E Table D1-kW'!E17</f>
        <v>2667.8766573632897</v>
      </c>
      <c r="F17" s="416">
        <f>'2014-25 ES CT E Table D-$'!F17/'2014-24 ES CT E Table D1-kW'!F17</f>
        <v>2705.7844045193556</v>
      </c>
      <c r="G17" s="416">
        <f>'2014-25 ES CT E Table D-$'!G17/'2014-24 ES CT E Table D1-kW'!G17</f>
        <v>2246.5590296495957</v>
      </c>
      <c r="H17" s="416">
        <f>'2014-25 ES CT E Table D-$'!H17/'2014-24 ES CT E Table D1-kW'!H17</f>
        <v>2756.4528297223992</v>
      </c>
      <c r="I17" s="416">
        <f>'2014-25 ES CT E Table D-$'!I17/'2014-24 ES CT E Table D1-kW'!I17</f>
        <v>1878.4443370765332</v>
      </c>
      <c r="J17" s="416">
        <f>'2014-25 ES CT E Table D-$'!J17/'2014-24 ES CT E Table D1-kW'!J17</f>
        <v>1615.5590025575448</v>
      </c>
      <c r="K17" s="416">
        <f>'2014-25 ES CT E Table D-$'!K17/'2014-24 ES CT E Table D1-kW'!K17</f>
        <v>2096.8383816411983</v>
      </c>
      <c r="L17" s="416">
        <f>'2014-25 ES CT E Table D-$'!L17/'2014-24 ES CT E Table D1-kW'!L17</f>
        <v>2955.9856685798691</v>
      </c>
      <c r="M17" s="416">
        <f>'2014-25 ES CT E Table D-$'!M17/'2014-24 ES CT E Table D1-kW'!M17</f>
        <v>2447.2211882688835</v>
      </c>
      <c r="N17" s="416">
        <f>'2014-25 ES CT E Table D-$'!N17/'2014-24 ES CT E Table D1-kW'!N17</f>
        <v>3384.8039729612956</v>
      </c>
      <c r="O17" s="416">
        <f>'2014-25 ES CT E Table D-$'!O17/'2014-24 ES CT E Table D1-kW'!O17</f>
        <v>3487.123361070448</v>
      </c>
      <c r="P17" s="416">
        <f>'2014-25 ES CT E Table D-$'!P17/'2014-24 ES CT E Table D1-kW'!P17</f>
        <v>3517.2557236011162</v>
      </c>
    </row>
    <row r="18" spans="1:16" ht="36.75" thickBot="1" x14ac:dyDescent="0.3">
      <c r="A18" s="29" t="s">
        <v>44</v>
      </c>
      <c r="D18" s="279" t="s">
        <v>391</v>
      </c>
      <c r="E18" s="416">
        <f>'2014-25 ES CT E Table D-$'!E18/'2014-24 ES CT E Table D1-kW'!E18</f>
        <v>2696.4399589462878</v>
      </c>
      <c r="F18" s="416">
        <f>'2014-25 ES CT E Table D-$'!F18/'2014-24 ES CT E Table D1-kW'!F18</f>
        <v>2284.9592446346519</v>
      </c>
      <c r="G18" s="416">
        <f>'2014-25 ES CT E Table D-$'!G18/'2014-24 ES CT E Table D1-kW'!G18</f>
        <v>2492.9373134328357</v>
      </c>
      <c r="H18" s="416">
        <f>'2014-25 ES CT E Table D-$'!H18/'2014-24 ES CT E Table D1-kW'!H18</f>
        <v>2997.343860447842</v>
      </c>
      <c r="I18" s="416">
        <f>'2014-25 ES CT E Table D-$'!I18/'2014-24 ES CT E Table D1-kW'!I18</f>
        <v>2277.9709073053973</v>
      </c>
      <c r="J18" s="416">
        <f>'2014-25 ES CT E Table D-$'!J18/'2014-24 ES CT E Table D1-kW'!J18</f>
        <v>1987.4049399198932</v>
      </c>
      <c r="K18" s="416">
        <f>'2014-25 ES CT E Table D-$'!K18/'2014-24 ES CT E Table D1-kW'!K18</f>
        <v>1038.9946578699592</v>
      </c>
      <c r="L18" s="416">
        <f>'2014-25 ES CT E Table D-$'!L18/'2014-24 ES CT E Table D1-kW'!L18</f>
        <v>2149.676870296003</v>
      </c>
      <c r="M18" s="416">
        <f>'2014-25 ES CT E Table D-$'!M18/'2014-24 ES CT E Table D1-kW'!M18</f>
        <v>1285.1371260717979</v>
      </c>
      <c r="N18" s="416">
        <f>'2014-25 ES CT E Table D-$'!N18/'2014-24 ES CT E Table D1-kW'!N18</f>
        <v>1908.1275330551546</v>
      </c>
      <c r="O18" s="416">
        <f>'2014-25 ES CT E Table D-$'!O18/'2014-24 ES CT E Table D1-kW'!O18</f>
        <v>1971.1402046008673</v>
      </c>
      <c r="P18" s="416">
        <f>'2014-25 ES CT E Table D-$'!P18/'2014-24 ES CT E Table D1-kW'!P18</f>
        <v>1868.0758647982877</v>
      </c>
    </row>
    <row r="19" spans="1:16" ht="18.75" thickBot="1" x14ac:dyDescent="0.3">
      <c r="A19" s="29" t="s">
        <v>44</v>
      </c>
      <c r="D19" s="238" t="s">
        <v>117</v>
      </c>
      <c r="E19" s="416">
        <f>'2014-25 ES CT E Table D-$'!E19/'2014-24 ES CT E Table D1-kW'!E19</f>
        <v>4529.2396975874954</v>
      </c>
      <c r="F19" s="416">
        <f>'2014-25 ES CT E Table D-$'!F19/'2014-24 ES CT E Table D1-kW'!F19</f>
        <v>5055.6879141685076</v>
      </c>
      <c r="G19" s="416">
        <f>'2014-25 ES CT E Table D-$'!G19/'2014-24 ES CT E Table D1-kW'!G19</f>
        <v>3746.0748792270533</v>
      </c>
      <c r="H19" s="416">
        <f>'2014-25 ES CT E Table D-$'!H19/'2014-24 ES CT E Table D1-kW'!H19</f>
        <v>3191.5781139309079</v>
      </c>
      <c r="I19" s="416">
        <f>'2014-25 ES CT E Table D-$'!I19/'2014-24 ES CT E Table D1-kW'!I19</f>
        <v>3090.1066108078435</v>
      </c>
      <c r="J19" s="416">
        <f>'2014-25 ES CT E Table D-$'!J19/'2014-24 ES CT E Table D1-kW'!J19</f>
        <v>2563.7381898454746</v>
      </c>
      <c r="K19" s="416">
        <f>'2014-25 ES CT E Table D-$'!K19/'2014-24 ES CT E Table D1-kW'!K19</f>
        <v>1974.0578208040224</v>
      </c>
      <c r="L19" s="416">
        <f>'2014-25 ES CT E Table D-$'!L19/'2014-24 ES CT E Table D1-kW'!L19</f>
        <v>2497.1499219458565</v>
      </c>
      <c r="M19" s="416">
        <f>'2014-25 ES CT E Table D-$'!M19/'2014-24 ES CT E Table D1-kW'!M19</f>
        <v>3433.0300116798139</v>
      </c>
      <c r="N19" s="416">
        <f>'2014-25 ES CT E Table D-$'!N19/'2014-24 ES CT E Table D1-kW'!N19</f>
        <v>2767.5340977105006</v>
      </c>
      <c r="O19" s="416">
        <f>'2014-25 ES CT E Table D-$'!O19/'2014-24 ES CT E Table D1-kW'!O19</f>
        <v>2934.1980090545444</v>
      </c>
      <c r="P19" s="416">
        <f>'2014-25 ES CT E Table D-$'!P19/'2014-24 ES CT E Table D1-kW'!P19</f>
        <v>2935.0049959937369</v>
      </c>
    </row>
    <row r="20" spans="1:16" ht="18.75" thickBot="1" x14ac:dyDescent="0.3">
      <c r="D20" s="259" t="s">
        <v>277</v>
      </c>
      <c r="E20" s="415">
        <f>'2014-25 ES CT E Table D-$'!E20/'2014-24 ES CT E Table D1-kW'!E20</f>
        <v>2559.8094921049228</v>
      </c>
      <c r="F20" s="415">
        <f>'2014-25 ES CT E Table D-$'!F20/'2014-24 ES CT E Table D1-kW'!F20</f>
        <v>2692.8357403927862</v>
      </c>
      <c r="G20" s="415">
        <f>'2014-25 ES CT E Table D-$'!G20/'2014-24 ES CT E Table D1-kW'!G20</f>
        <v>2345.2173722787443</v>
      </c>
      <c r="H20" s="415">
        <f>'2014-25 ES CT E Table D-$'!H20/'2014-24 ES CT E Table D1-kW'!H20</f>
        <v>2639.890145953002</v>
      </c>
      <c r="I20" s="415">
        <f>'2014-25 ES CT E Table D-$'!I20/'2014-24 ES CT E Table D1-kW'!I20</f>
        <v>2133.519079661462</v>
      </c>
      <c r="J20" s="415">
        <f>'2014-25 ES CT E Table D-$'!J20/'2014-24 ES CT E Table D1-kW'!J20</f>
        <v>1872.8989188493231</v>
      </c>
      <c r="K20" s="415">
        <f>'2014-25 ES CT E Table D-$'!K20/'2014-24 ES CT E Table D1-kW'!K20</f>
        <v>2069.8783364446786</v>
      </c>
      <c r="L20" s="415">
        <f>'2014-25 ES CT E Table D-$'!L20/'2014-24 ES CT E Table D1-kW'!L20</f>
        <v>3034.2264619132511</v>
      </c>
      <c r="M20" s="415">
        <f>'2014-25 ES CT E Table D-$'!M20/'2014-24 ES CT E Table D1-kW'!M20</f>
        <v>2571.1395112301097</v>
      </c>
      <c r="N20" s="415">
        <f>'2014-25 ES CT E Table D-$'!N20/'2014-24 ES CT E Table D1-kW'!N20</f>
        <v>2972.091201656116</v>
      </c>
      <c r="O20" s="415">
        <f>'2014-25 ES CT E Table D-$'!O20/'2014-24 ES CT E Table D1-kW'!O20</f>
        <v>3134.7267759959536</v>
      </c>
      <c r="P20" s="415">
        <f>'2014-25 ES CT E Table D-$'!P20/'2014-24 ES CT E Table D1-kW'!P20</f>
        <v>3079.4840602232985</v>
      </c>
    </row>
    <row r="21" spans="1:16" ht="18.75" hidden="1" thickBot="1" x14ac:dyDescent="0.3">
      <c r="D21" s="299" t="s">
        <v>262</v>
      </c>
      <c r="E21" s="396"/>
      <c r="F21" s="396"/>
      <c r="G21" s="397"/>
      <c r="H21" s="397"/>
      <c r="I21" s="397"/>
      <c r="J21" s="398"/>
      <c r="K21" s="398"/>
      <c r="L21" s="398"/>
      <c r="M21" s="398"/>
      <c r="N21" s="398"/>
      <c r="O21" s="398"/>
      <c r="P21" s="398"/>
    </row>
    <row r="22" spans="1:16" ht="17.25" hidden="1" customHeight="1" thickBot="1" x14ac:dyDescent="0.3">
      <c r="A22" s="32" t="s">
        <v>196</v>
      </c>
      <c r="B22" s="26"/>
      <c r="C22" s="26"/>
      <c r="D22" s="298" t="s">
        <v>184</v>
      </c>
      <c r="E22" s="401">
        <v>0</v>
      </c>
      <c r="F22" s="401">
        <v>0</v>
      </c>
      <c r="G22" s="401">
        <v>0</v>
      </c>
      <c r="H22" s="401">
        <v>0</v>
      </c>
      <c r="I22" s="401">
        <v>0</v>
      </c>
      <c r="J22" s="402">
        <v>0</v>
      </c>
      <c r="K22" s="402">
        <v>0</v>
      </c>
      <c r="L22" s="402">
        <v>0</v>
      </c>
      <c r="M22" s="402">
        <v>0</v>
      </c>
      <c r="N22" s="402">
        <v>0</v>
      </c>
      <c r="O22" s="402">
        <v>0</v>
      </c>
      <c r="P22" s="402">
        <v>0</v>
      </c>
    </row>
    <row r="23" spans="1:16" ht="18.75" hidden="1" thickBot="1" x14ac:dyDescent="0.3">
      <c r="A23" s="32" t="s">
        <v>18</v>
      </c>
      <c r="B23" s="26"/>
      <c r="C23" s="26"/>
      <c r="D23" s="262" t="s">
        <v>141</v>
      </c>
      <c r="E23" s="400">
        <v>0</v>
      </c>
      <c r="F23" s="400">
        <v>0</v>
      </c>
      <c r="G23" s="400">
        <v>0</v>
      </c>
      <c r="H23" s="400">
        <v>0</v>
      </c>
      <c r="I23" s="400">
        <v>0</v>
      </c>
      <c r="J23" s="400">
        <v>0</v>
      </c>
      <c r="K23" s="400">
        <v>0</v>
      </c>
      <c r="L23" s="400">
        <v>0</v>
      </c>
      <c r="M23" s="400">
        <v>0</v>
      </c>
      <c r="N23" s="400">
        <v>0</v>
      </c>
      <c r="O23" s="400">
        <v>0</v>
      </c>
      <c r="P23" s="400">
        <v>0</v>
      </c>
    </row>
    <row r="24" spans="1:16" ht="17.25" hidden="1" customHeight="1" thickBot="1" x14ac:dyDescent="0.3">
      <c r="A24" s="32" t="s">
        <v>18</v>
      </c>
      <c r="B24" s="26"/>
      <c r="C24" s="26"/>
      <c r="D24" s="262" t="s">
        <v>185</v>
      </c>
      <c r="E24" s="403">
        <v>0</v>
      </c>
      <c r="F24" s="403">
        <v>0</v>
      </c>
      <c r="G24" s="403">
        <v>0</v>
      </c>
      <c r="H24" s="403">
        <v>0</v>
      </c>
      <c r="I24" s="403">
        <v>0</v>
      </c>
      <c r="J24" s="403">
        <v>0</v>
      </c>
      <c r="K24" s="403">
        <v>0</v>
      </c>
      <c r="L24" s="403">
        <v>0</v>
      </c>
      <c r="M24" s="403">
        <v>0</v>
      </c>
      <c r="N24" s="403">
        <v>0</v>
      </c>
      <c r="O24" s="403">
        <v>0</v>
      </c>
      <c r="P24" s="403">
        <v>0</v>
      </c>
    </row>
    <row r="25" spans="1:16" ht="17.25" hidden="1" customHeight="1" thickBot="1" x14ac:dyDescent="0.3">
      <c r="A25" s="32" t="s">
        <v>196</v>
      </c>
      <c r="B25" s="26"/>
      <c r="C25" s="26"/>
      <c r="D25" s="278" t="s">
        <v>188</v>
      </c>
      <c r="E25" s="403">
        <v>0</v>
      </c>
      <c r="F25" s="403">
        <v>0</v>
      </c>
      <c r="G25" s="403">
        <v>0</v>
      </c>
      <c r="H25" s="403">
        <v>0</v>
      </c>
      <c r="I25" s="403">
        <v>0</v>
      </c>
      <c r="J25" s="403">
        <v>0</v>
      </c>
      <c r="K25" s="403">
        <v>0</v>
      </c>
      <c r="L25" s="403">
        <v>0</v>
      </c>
      <c r="M25" s="403">
        <v>0</v>
      </c>
      <c r="N25" s="403">
        <v>0</v>
      </c>
      <c r="O25" s="403">
        <v>0</v>
      </c>
      <c r="P25" s="403">
        <v>0</v>
      </c>
    </row>
    <row r="26" spans="1:16" ht="18.75" hidden="1" thickBot="1" x14ac:dyDescent="0.3">
      <c r="A26" s="32" t="s">
        <v>18</v>
      </c>
      <c r="D26" s="262" t="s">
        <v>95</v>
      </c>
      <c r="E26" s="395">
        <v>0</v>
      </c>
      <c r="F26" s="395">
        <v>0</v>
      </c>
      <c r="G26" s="395">
        <v>0</v>
      </c>
      <c r="H26" s="395">
        <v>0</v>
      </c>
      <c r="I26" s="395">
        <v>0</v>
      </c>
      <c r="J26" s="395">
        <v>0</v>
      </c>
      <c r="K26" s="395">
        <v>0</v>
      </c>
      <c r="L26" s="395">
        <v>0</v>
      </c>
      <c r="M26" s="395">
        <v>0</v>
      </c>
      <c r="N26" s="395">
        <v>0</v>
      </c>
      <c r="O26" s="395">
        <v>0</v>
      </c>
      <c r="P26" s="395">
        <v>0</v>
      </c>
    </row>
    <row r="27" spans="1:16" ht="18.75" hidden="1" thickBot="1" x14ac:dyDescent="0.3">
      <c r="A27" s="32" t="s">
        <v>18</v>
      </c>
      <c r="D27" s="262" t="s">
        <v>94</v>
      </c>
      <c r="E27" s="395">
        <v>0</v>
      </c>
      <c r="F27" s="395">
        <v>0</v>
      </c>
      <c r="G27" s="395">
        <v>0</v>
      </c>
      <c r="H27" s="395">
        <v>0</v>
      </c>
      <c r="I27" s="395">
        <v>0</v>
      </c>
      <c r="J27" s="395">
        <v>0</v>
      </c>
      <c r="K27" s="395">
        <v>0</v>
      </c>
      <c r="L27" s="395">
        <v>0</v>
      </c>
      <c r="M27" s="395">
        <v>0</v>
      </c>
      <c r="N27" s="395">
        <v>0</v>
      </c>
      <c r="O27" s="395">
        <v>0</v>
      </c>
      <c r="P27" s="395">
        <v>0</v>
      </c>
    </row>
    <row r="28" spans="1:16" ht="18.75" hidden="1" thickBot="1" x14ac:dyDescent="0.3">
      <c r="A28" s="27" t="s">
        <v>43</v>
      </c>
      <c r="D28" s="262" t="s">
        <v>137</v>
      </c>
      <c r="E28" s="400">
        <v>0</v>
      </c>
      <c r="F28" s="400">
        <v>0</v>
      </c>
      <c r="G28" s="400">
        <v>0</v>
      </c>
      <c r="H28" s="400">
        <v>0</v>
      </c>
      <c r="I28" s="400">
        <v>0</v>
      </c>
      <c r="J28" s="400">
        <v>0</v>
      </c>
      <c r="K28" s="400">
        <v>0</v>
      </c>
      <c r="L28" s="400">
        <v>0</v>
      </c>
      <c r="M28" s="400">
        <v>0</v>
      </c>
      <c r="N28" s="400">
        <v>0</v>
      </c>
      <c r="O28" s="400">
        <v>0</v>
      </c>
      <c r="P28" s="400">
        <v>0</v>
      </c>
    </row>
    <row r="29" spans="1:16" ht="18.75" hidden="1" thickBot="1" x14ac:dyDescent="0.3">
      <c r="A29" s="27" t="s">
        <v>43</v>
      </c>
      <c r="D29" s="262" t="s">
        <v>138</v>
      </c>
      <c r="E29" s="400">
        <v>0</v>
      </c>
      <c r="F29" s="400">
        <v>0</v>
      </c>
      <c r="G29" s="400">
        <v>0</v>
      </c>
      <c r="H29" s="400">
        <v>0</v>
      </c>
      <c r="I29" s="400">
        <v>0</v>
      </c>
      <c r="J29" s="400">
        <v>0</v>
      </c>
      <c r="K29" s="400">
        <v>0</v>
      </c>
      <c r="L29" s="400">
        <v>0</v>
      </c>
      <c r="M29" s="400">
        <v>0</v>
      </c>
      <c r="N29" s="400">
        <v>0</v>
      </c>
      <c r="O29" s="400">
        <v>0</v>
      </c>
      <c r="P29" s="400">
        <v>0</v>
      </c>
    </row>
    <row r="30" spans="1:16" ht="18.75" hidden="1" thickBot="1" x14ac:dyDescent="0.3">
      <c r="D30" s="288" t="s">
        <v>260</v>
      </c>
      <c r="E30" s="399">
        <f t="shared" ref="E30:J30" si="0">SUM(E22:E29)</f>
        <v>0</v>
      </c>
      <c r="F30" s="399">
        <f>SUM(F22:F29)</f>
        <v>0</v>
      </c>
      <c r="G30" s="399">
        <f t="shared" si="0"/>
        <v>0</v>
      </c>
      <c r="H30" s="399">
        <f t="shared" si="0"/>
        <v>0</v>
      </c>
      <c r="I30" s="399">
        <f t="shared" si="0"/>
        <v>0</v>
      </c>
      <c r="J30" s="399">
        <f t="shared" si="0"/>
        <v>0</v>
      </c>
      <c r="K30" s="399">
        <f t="shared" ref="K30:P30" si="1">SUM(K22:K29)</f>
        <v>0</v>
      </c>
      <c r="L30" s="399">
        <f t="shared" si="1"/>
        <v>0</v>
      </c>
      <c r="M30" s="399">
        <f t="shared" si="1"/>
        <v>0</v>
      </c>
      <c r="N30" s="399">
        <f t="shared" si="1"/>
        <v>0</v>
      </c>
      <c r="O30" s="399">
        <f t="shared" si="1"/>
        <v>0</v>
      </c>
      <c r="P30" s="399">
        <f t="shared" si="1"/>
        <v>0</v>
      </c>
    </row>
    <row r="31" spans="1:16" ht="18.75" hidden="1" thickBot="1" x14ac:dyDescent="0.3">
      <c r="D31" s="294" t="s">
        <v>45</v>
      </c>
      <c r="E31" s="396"/>
      <c r="F31" s="396"/>
      <c r="G31" s="397"/>
      <c r="H31" s="397"/>
      <c r="I31" s="397"/>
      <c r="J31" s="398"/>
      <c r="K31" s="398"/>
      <c r="L31" s="398"/>
      <c r="M31" s="398"/>
      <c r="N31" s="398"/>
      <c r="O31" s="398"/>
      <c r="P31" s="398"/>
    </row>
    <row r="32" spans="1:16" ht="18.75" hidden="1" thickBot="1" x14ac:dyDescent="0.3">
      <c r="A32" s="27" t="s">
        <v>43</v>
      </c>
      <c r="D32" s="296" t="s">
        <v>155</v>
      </c>
      <c r="E32" s="404">
        <v>0</v>
      </c>
      <c r="F32" s="404">
        <v>0</v>
      </c>
      <c r="G32" s="404">
        <v>0</v>
      </c>
      <c r="H32" s="404">
        <v>0</v>
      </c>
      <c r="I32" s="404">
        <v>0</v>
      </c>
      <c r="J32" s="405">
        <v>0</v>
      </c>
      <c r="K32" s="405">
        <v>0</v>
      </c>
      <c r="L32" s="405">
        <v>0</v>
      </c>
      <c r="M32" s="405">
        <v>0</v>
      </c>
      <c r="N32" s="405">
        <v>0</v>
      </c>
      <c r="O32" s="405">
        <v>0</v>
      </c>
      <c r="P32" s="405">
        <v>0</v>
      </c>
    </row>
    <row r="33" spans="1:16" ht="18.75" hidden="1" thickBot="1" x14ac:dyDescent="0.3">
      <c r="A33" s="29" t="s">
        <v>44</v>
      </c>
      <c r="D33" s="263" t="s">
        <v>200</v>
      </c>
      <c r="E33" s="406">
        <v>0</v>
      </c>
      <c r="F33" s="406">
        <v>0</v>
      </c>
      <c r="G33" s="406">
        <v>0</v>
      </c>
      <c r="H33" s="406">
        <v>0</v>
      </c>
      <c r="I33" s="406">
        <v>0</v>
      </c>
      <c r="J33" s="407">
        <v>0</v>
      </c>
      <c r="K33" s="407">
        <v>0</v>
      </c>
      <c r="L33" s="407">
        <v>0</v>
      </c>
      <c r="M33" s="407">
        <v>0</v>
      </c>
      <c r="N33" s="407">
        <v>0</v>
      </c>
      <c r="O33" s="407">
        <v>0</v>
      </c>
      <c r="P33" s="407">
        <v>0</v>
      </c>
    </row>
    <row r="34" spans="1:16" ht="18.75" hidden="1" thickBot="1" x14ac:dyDescent="0.3">
      <c r="A34" s="26" t="s">
        <v>46</v>
      </c>
      <c r="D34" s="263" t="s">
        <v>21</v>
      </c>
      <c r="E34" s="408">
        <v>0</v>
      </c>
      <c r="F34" s="408">
        <v>0</v>
      </c>
      <c r="G34" s="408">
        <v>0</v>
      </c>
      <c r="H34" s="408">
        <v>0</v>
      </c>
      <c r="I34" s="408">
        <v>0</v>
      </c>
      <c r="J34" s="400">
        <v>0</v>
      </c>
      <c r="K34" s="400">
        <v>0</v>
      </c>
      <c r="L34" s="400">
        <v>0</v>
      </c>
      <c r="M34" s="400">
        <v>0</v>
      </c>
      <c r="N34" s="400">
        <v>0</v>
      </c>
      <c r="O34" s="400">
        <v>0</v>
      </c>
      <c r="P34" s="400">
        <v>0</v>
      </c>
    </row>
    <row r="35" spans="1:16" ht="18.75" hidden="1" thickBot="1" x14ac:dyDescent="0.3">
      <c r="A35" s="26" t="s">
        <v>46</v>
      </c>
      <c r="D35" s="267" t="s">
        <v>187</v>
      </c>
      <c r="E35" s="409">
        <v>0</v>
      </c>
      <c r="F35" s="409">
        <v>0</v>
      </c>
      <c r="G35" s="409">
        <v>0</v>
      </c>
      <c r="H35" s="409">
        <v>0</v>
      </c>
      <c r="I35" s="409">
        <v>0</v>
      </c>
      <c r="J35" s="395">
        <v>0</v>
      </c>
      <c r="K35" s="395">
        <v>0</v>
      </c>
      <c r="L35" s="395">
        <v>0</v>
      </c>
      <c r="M35" s="395">
        <v>0</v>
      </c>
      <c r="N35" s="395">
        <v>0</v>
      </c>
      <c r="O35" s="395">
        <v>0</v>
      </c>
      <c r="P35" s="395">
        <v>0</v>
      </c>
    </row>
    <row r="36" spans="1:16" ht="18.75" hidden="1" thickBot="1" x14ac:dyDescent="0.3">
      <c r="A36" s="29" t="s">
        <v>44</v>
      </c>
      <c r="D36" s="267" t="s">
        <v>139</v>
      </c>
      <c r="E36" s="409">
        <v>0</v>
      </c>
      <c r="F36" s="409">
        <v>0</v>
      </c>
      <c r="G36" s="409">
        <v>0</v>
      </c>
      <c r="H36" s="409">
        <v>0</v>
      </c>
      <c r="I36" s="409">
        <v>0</v>
      </c>
      <c r="J36" s="395">
        <v>0</v>
      </c>
      <c r="K36" s="395">
        <v>0</v>
      </c>
      <c r="L36" s="395">
        <v>0</v>
      </c>
      <c r="M36" s="395">
        <v>0</v>
      </c>
      <c r="N36" s="395">
        <v>0</v>
      </c>
      <c r="O36" s="395">
        <v>0</v>
      </c>
      <c r="P36" s="395">
        <v>0</v>
      </c>
    </row>
    <row r="37" spans="1:16" ht="18.75" hidden="1" thickBot="1" x14ac:dyDescent="0.3">
      <c r="A37" s="29" t="s">
        <v>44</v>
      </c>
      <c r="D37" s="263" t="s">
        <v>119</v>
      </c>
      <c r="E37" s="406">
        <v>0</v>
      </c>
      <c r="F37" s="406">
        <v>0</v>
      </c>
      <c r="G37" s="406">
        <v>0</v>
      </c>
      <c r="H37" s="406">
        <v>0</v>
      </c>
      <c r="I37" s="406">
        <v>0</v>
      </c>
      <c r="J37" s="407">
        <v>0</v>
      </c>
      <c r="K37" s="407">
        <v>0</v>
      </c>
      <c r="L37" s="407">
        <v>0</v>
      </c>
      <c r="M37" s="407">
        <v>0</v>
      </c>
      <c r="N37" s="407">
        <v>0</v>
      </c>
      <c r="O37" s="407">
        <v>0</v>
      </c>
      <c r="P37" s="407">
        <v>0</v>
      </c>
    </row>
    <row r="38" spans="1:16" ht="18.75" hidden="1" thickBot="1" x14ac:dyDescent="0.3">
      <c r="A38" s="91" t="s">
        <v>43</v>
      </c>
      <c r="D38" s="263" t="s">
        <v>210</v>
      </c>
      <c r="E38" s="408">
        <v>0</v>
      </c>
      <c r="F38" s="408">
        <v>0</v>
      </c>
      <c r="G38" s="408">
        <v>0</v>
      </c>
      <c r="H38" s="408">
        <v>0</v>
      </c>
      <c r="I38" s="408">
        <v>0</v>
      </c>
      <c r="J38" s="400">
        <v>0</v>
      </c>
      <c r="K38" s="400">
        <v>0</v>
      </c>
      <c r="L38" s="400">
        <v>0</v>
      </c>
      <c r="M38" s="400">
        <v>0</v>
      </c>
      <c r="N38" s="400">
        <v>0</v>
      </c>
      <c r="O38" s="400">
        <v>0</v>
      </c>
      <c r="P38" s="400">
        <v>0</v>
      </c>
    </row>
    <row r="39" spans="1:16" ht="18.75" hidden="1" thickBot="1" x14ac:dyDescent="0.3">
      <c r="A39" s="29" t="s">
        <v>44</v>
      </c>
      <c r="D39" s="383" t="s">
        <v>142</v>
      </c>
      <c r="E39" s="410">
        <v>0</v>
      </c>
      <c r="F39" s="410">
        <v>0</v>
      </c>
      <c r="G39" s="410">
        <v>0</v>
      </c>
      <c r="H39" s="410">
        <v>0</v>
      </c>
      <c r="I39" s="410">
        <v>0</v>
      </c>
      <c r="J39" s="411">
        <v>0</v>
      </c>
      <c r="K39" s="411">
        <v>0</v>
      </c>
      <c r="L39" s="411">
        <v>0</v>
      </c>
      <c r="M39" s="411">
        <v>0</v>
      </c>
      <c r="N39" s="411">
        <v>0</v>
      </c>
      <c r="O39" s="411">
        <v>0</v>
      </c>
      <c r="P39" s="411">
        <v>0</v>
      </c>
    </row>
    <row r="40" spans="1:16" ht="18.75" hidden="1" thickBot="1" x14ac:dyDescent="0.3">
      <c r="A40" s="91"/>
      <c r="D40" s="268" t="s">
        <v>198</v>
      </c>
      <c r="E40" s="412">
        <v>0</v>
      </c>
      <c r="F40" s="412">
        <v>0</v>
      </c>
      <c r="G40" s="412">
        <v>0</v>
      </c>
      <c r="H40" s="412">
        <v>0</v>
      </c>
      <c r="I40" s="412">
        <v>0</v>
      </c>
      <c r="J40" s="413">
        <v>0</v>
      </c>
      <c r="K40" s="413">
        <v>0</v>
      </c>
      <c r="L40" s="413">
        <v>0</v>
      </c>
      <c r="M40" s="413">
        <v>0</v>
      </c>
      <c r="N40" s="413">
        <v>0</v>
      </c>
      <c r="O40" s="413">
        <v>0</v>
      </c>
      <c r="P40" s="413">
        <v>0</v>
      </c>
    </row>
    <row r="41" spans="1:16" ht="18.75" hidden="1" thickBot="1" x14ac:dyDescent="0.3">
      <c r="A41" s="26" t="s">
        <v>46</v>
      </c>
      <c r="D41" s="297" t="s">
        <v>123</v>
      </c>
      <c r="E41" s="414">
        <f t="shared" ref="E41:J41" si="2">SUM(E32:E40)</f>
        <v>0</v>
      </c>
      <c r="F41" s="414">
        <f t="shared" si="2"/>
        <v>0</v>
      </c>
      <c r="G41" s="414">
        <f t="shared" si="2"/>
        <v>0</v>
      </c>
      <c r="H41" s="414">
        <f>SUM(H32:H40)</f>
        <v>0</v>
      </c>
      <c r="I41" s="414">
        <f t="shared" si="2"/>
        <v>0</v>
      </c>
      <c r="J41" s="399">
        <f t="shared" si="2"/>
        <v>0</v>
      </c>
      <c r="K41" s="399">
        <f t="shared" ref="K41:P41" si="3">SUM(K32:K40)</f>
        <v>0</v>
      </c>
      <c r="L41" s="399">
        <f t="shared" si="3"/>
        <v>0</v>
      </c>
      <c r="M41" s="399">
        <f t="shared" si="3"/>
        <v>0</v>
      </c>
      <c r="N41" s="399">
        <f t="shared" si="3"/>
        <v>0</v>
      </c>
      <c r="O41" s="399">
        <f t="shared" si="3"/>
        <v>0</v>
      </c>
      <c r="P41" s="399">
        <f t="shared" si="3"/>
        <v>0</v>
      </c>
    </row>
    <row r="42" spans="1:16" ht="23.25" customHeight="1" thickBot="1" x14ac:dyDescent="0.3">
      <c r="A42" s="28"/>
      <c r="D42" s="856" t="s">
        <v>19</v>
      </c>
      <c r="E42" s="856"/>
      <c r="F42" s="856"/>
      <c r="G42" s="856"/>
      <c r="H42" s="856"/>
      <c r="I42" s="856"/>
      <c r="J42" s="856"/>
      <c r="K42" s="856"/>
      <c r="L42" s="856"/>
      <c r="M42" s="856"/>
      <c r="N42" s="952"/>
      <c r="O42" s="952"/>
      <c r="P42" s="952"/>
    </row>
    <row r="43" spans="1:16" ht="18.75" thickBot="1" x14ac:dyDescent="0.3">
      <c r="A43" s="29" t="s">
        <v>44</v>
      </c>
      <c r="D43" s="242" t="s">
        <v>118</v>
      </c>
      <c r="E43" s="416">
        <f>'2014-25 ES CT E Table D-$'!E22/'2014-24 ES CT E Table D1-kW'!E22</f>
        <v>43.165308128228183</v>
      </c>
      <c r="F43" s="416">
        <f>'2014-25 ES CT E Table D-$'!F22/'2014-24 ES CT E Table D1-kW'!F22</f>
        <v>40.984022927550292</v>
      </c>
      <c r="G43" s="416">
        <f>'2014-25 ES CT E Table D-$'!G22/'2014-24 ES CT E Table D1-kW'!G22</f>
        <v>22.884742236880705</v>
      </c>
      <c r="H43" s="416">
        <f>'2014-25 ES CT E Table D-$'!H22/'2014-24 ES CT E Table D1-kW'!H22</f>
        <v>66.88719284151037</v>
      </c>
      <c r="I43" s="416">
        <f>'2014-25 ES CT E Table D-$'!I22/'2014-24 ES CT E Table D1-kW'!I22</f>
        <v>58.591041820055942</v>
      </c>
      <c r="J43" s="416">
        <f>'2014-25 ES CT E Table D-$'!J22/'2014-24 ES CT E Table D1-kW'!J22</f>
        <v>31.006202273242774</v>
      </c>
      <c r="K43" s="416">
        <v>0</v>
      </c>
      <c r="L43" s="416">
        <v>0</v>
      </c>
      <c r="M43" s="416">
        <v>0</v>
      </c>
      <c r="N43" s="416">
        <v>0</v>
      </c>
      <c r="O43" s="416">
        <v>0</v>
      </c>
      <c r="P43" s="416">
        <v>0</v>
      </c>
    </row>
    <row r="44" spans="1:16" ht="18.75" thickBot="1" x14ac:dyDescent="0.3">
      <c r="A44" s="29"/>
      <c r="D44" s="242" t="s">
        <v>256</v>
      </c>
      <c r="E44" s="416">
        <v>0</v>
      </c>
      <c r="F44" s="416">
        <v>0</v>
      </c>
      <c r="G44" s="416">
        <v>0</v>
      </c>
      <c r="H44" s="416">
        <v>0</v>
      </c>
      <c r="I44" s="416">
        <v>0</v>
      </c>
      <c r="J44" s="416">
        <v>0</v>
      </c>
      <c r="K44" s="416">
        <f>'2014-25 ES CT E Table D-$'!K23/'2014-24 ES CT E Table D1-kW'!K23</f>
        <v>279.37979051819184</v>
      </c>
      <c r="L44" s="416">
        <f>'2014-25 ES CT E Table D-$'!L23/'2014-24 ES CT E Table D1-kW'!L23</f>
        <v>147.22529082597731</v>
      </c>
      <c r="M44" s="416">
        <f>'2014-25 ES CT E Table D-$'!M23/'2014-24 ES CT E Table D1-kW'!M23</f>
        <v>167.87759250776543</v>
      </c>
      <c r="N44" s="416">
        <f>'2014-25 ES CT E Table D-$'!N23/'2014-24 ES CT E Table D1-kW'!N23</f>
        <v>222.14832058530095</v>
      </c>
      <c r="O44" s="416">
        <f>'2014-25 ES CT E Table D-$'!O23/'2014-24 ES CT E Table D1-kW'!O23</f>
        <v>213.63463071431048</v>
      </c>
      <c r="P44" s="416">
        <f>'2014-25 ES CT E Table D-$'!P23/'2014-24 ES CT E Table D1-kW'!P23</f>
        <v>213.63463071431045</v>
      </c>
    </row>
    <row r="45" spans="1:16" ht="18.75" thickBot="1" x14ac:dyDescent="0.3">
      <c r="A45" s="29"/>
      <c r="D45" s="242" t="s">
        <v>258</v>
      </c>
      <c r="E45" s="416">
        <v>0</v>
      </c>
      <c r="F45" s="416">
        <v>0</v>
      </c>
      <c r="G45" s="416">
        <v>0</v>
      </c>
      <c r="H45" s="416">
        <v>0</v>
      </c>
      <c r="I45" s="416">
        <v>0</v>
      </c>
      <c r="J45" s="416">
        <v>0</v>
      </c>
      <c r="K45" s="416">
        <f>'2014-25 ES CT E Table D-$'!K24/'2014-24 ES CT E Table D1-kW'!K24</f>
        <v>55.604738678221672</v>
      </c>
      <c r="L45" s="416">
        <f>'2014-25 ES CT E Table D-$'!L24/'2014-24 ES CT E Table D1-kW'!L24</f>
        <v>49.113640086678195</v>
      </c>
      <c r="M45" s="416">
        <f>'2014-25 ES CT E Table D-$'!M24/'2014-24 ES CT E Table D1-kW'!M24</f>
        <v>54.996033998488087</v>
      </c>
      <c r="N45" s="416">
        <f>'2014-25 ES CT E Table D-$'!N24/'2014-24 ES CT E Table D1-kW'!N24</f>
        <v>60.857874519846348</v>
      </c>
      <c r="O45" s="416">
        <f>'2014-25 ES CT E Table D-$'!O24/'2014-24 ES CT E Table D1-kW'!O24</f>
        <v>55.310479797979788</v>
      </c>
      <c r="P45" s="416">
        <f>'2014-25 ES CT E Table D-$'!P24/'2014-24 ES CT E Table D1-kW'!P24</f>
        <v>56.9166504255181</v>
      </c>
    </row>
    <row r="46" spans="1:16" ht="18.75" thickBot="1" x14ac:dyDescent="0.3">
      <c r="D46" s="259" t="s">
        <v>20</v>
      </c>
      <c r="E46" s="415">
        <f>'2014-25 ES CT E Table D-$'!E25/'2014-24 ES CT E Table D1-kW'!E25</f>
        <v>43.165308128228183</v>
      </c>
      <c r="F46" s="415">
        <f>'2014-25 ES CT E Table D-$'!F25/'2014-24 ES CT E Table D1-kW'!F25</f>
        <v>40.984022927550292</v>
      </c>
      <c r="G46" s="415">
        <f>'2014-25 ES CT E Table D-$'!G25/'2014-24 ES CT E Table D1-kW'!G25</f>
        <v>22.884742236880705</v>
      </c>
      <c r="H46" s="415">
        <f>'2014-25 ES CT E Table D-$'!H25/'2014-24 ES CT E Table D1-kW'!H25</f>
        <v>91.942602709366426</v>
      </c>
      <c r="I46" s="415">
        <f>'2014-25 ES CT E Table D-$'!I25/'2014-24 ES CT E Table D1-kW'!I25</f>
        <v>99.749526333873249</v>
      </c>
      <c r="J46" s="415">
        <f>'2014-25 ES CT E Table D-$'!J25/'2014-24 ES CT E Table D1-kW'!J25</f>
        <v>50.322576425817189</v>
      </c>
      <c r="K46" s="415">
        <f>'2014-25 ES CT E Table D-$'!K25/'2014-24 ES CT E Table D1-kW'!K25</f>
        <v>94.50756823099988</v>
      </c>
      <c r="L46" s="415">
        <f>'2014-25 ES CT E Table D-$'!L25/'2014-24 ES CT E Table D1-kW'!L25</f>
        <v>68.876465732111953</v>
      </c>
      <c r="M46" s="415">
        <f>'2014-25 ES CT E Table D-$'!M25/'2014-24 ES CT E Table D1-kW'!M25</f>
        <v>77.110191941006136</v>
      </c>
      <c r="N46" s="415">
        <f>'2014-25 ES CT E Table D-$'!N25/'2014-24 ES CT E Table D1-kW'!N25</f>
        <v>86.895366940462765</v>
      </c>
      <c r="O46" s="415">
        <f>'2014-25 ES CT E Table D-$'!O25/'2014-24 ES CT E Table D1-kW'!O25</f>
        <v>79.705959317073678</v>
      </c>
      <c r="P46" s="415">
        <f>'2014-25 ES CT E Table D-$'!P25/'2014-24 ES CT E Table D1-kW'!P25</f>
        <v>80.056258464458352</v>
      </c>
    </row>
    <row r="47" spans="1:16" ht="18.75" thickBot="1" x14ac:dyDescent="0.3">
      <c r="D47" s="376" t="s">
        <v>124</v>
      </c>
      <c r="E47" s="415">
        <f>'2014-25 ES CT E Table D-$'!E61/'2014-24 ES CT E Table D1-kW'!E29</f>
        <v>818.37289168644077</v>
      </c>
      <c r="F47" s="415">
        <f>'2014-25 ES CT E Table D-$'!F61/'2014-24 ES CT E Table D1-kW'!F29</f>
        <v>1108.2848725416134</v>
      </c>
      <c r="G47" s="415">
        <f>'2014-25 ES CT E Table D-$'!G61/'2014-24 ES CT E Table D1-kW'!G29</f>
        <v>891.48613356128533</v>
      </c>
      <c r="H47" s="415">
        <f>'2014-25 ES CT E Table D-$'!H61/'2014-24 ES CT E Table D1-kW'!H29</f>
        <v>1971.2072097399766</v>
      </c>
      <c r="I47" s="415">
        <f>'2014-25 ES CT E Table D-$'!I61/'2014-24 ES CT E Table D1-kW'!I29</f>
        <v>1511.0590947004175</v>
      </c>
      <c r="J47" s="415">
        <f>'2014-25 ES CT E Table D-$'!J61/'2014-24 ES CT E Table D1-kW'!J29</f>
        <v>1358.6518950116454</v>
      </c>
      <c r="K47" s="415">
        <f>'2014-25 ES CT E Table D-$'!K61/'2014-24 ES CT E Table D1-kW'!K29</f>
        <v>2497.6164492977814</v>
      </c>
      <c r="L47" s="415">
        <f>'2014-25 ES CT E Table D-$'!L61/'2014-24 ES CT E Table D1-kW'!L29</f>
        <v>1571.8742062594883</v>
      </c>
      <c r="M47" s="415">
        <f>'2014-25 ES CT E Table D-$'!M61/'2014-24 ES CT E Table D1-kW'!M29</f>
        <v>1467.6419441981193</v>
      </c>
      <c r="N47" s="415">
        <f>'2014-25 ES CT E Table D-$'!N61/'2014-24 ES CT E Table D1-kW'!N29</f>
        <v>1346.9306208333608</v>
      </c>
      <c r="O47" s="415">
        <f>'2014-25 ES CT E Table D-$'!O61/'2014-24 ES CT E Table D1-kW'!O29</f>
        <v>1242.4890421799598</v>
      </c>
      <c r="P47" s="415">
        <f>'2014-25 ES CT E Table D-$'!P61/'2014-24 ES CT E Table D1-kW'!P29</f>
        <v>1190.6491387983733</v>
      </c>
    </row>
    <row r="48" spans="1:16" ht="18.75" thickBot="1" x14ac:dyDescent="0.3">
      <c r="D48" s="376" t="s">
        <v>99</v>
      </c>
      <c r="E48" s="415">
        <f>'2014-25 ES CT E Table D-$'!E62/'2014-24 ES CT E Table D1-kW'!E30</f>
        <v>3492.9267367713251</v>
      </c>
      <c r="F48" s="415">
        <f>'2014-25 ES CT E Table D-$'!F62/'2014-24 ES CT E Table D1-kW'!F30</f>
        <v>3347.1127903310535</v>
      </c>
      <c r="G48" s="415">
        <f>'2014-25 ES CT E Table D-$'!G62/'2014-24 ES CT E Table D1-kW'!G30</f>
        <v>2712.1618995212693</v>
      </c>
      <c r="H48" s="415">
        <f>'2014-25 ES CT E Table D-$'!H62/'2014-24 ES CT E Table D1-kW'!H30</f>
        <v>3416.4484353016073</v>
      </c>
      <c r="I48" s="415">
        <f>'2014-25 ES CT E Table D-$'!I62/'2014-24 ES CT E Table D1-kW'!I30</f>
        <v>2877.0682073740718</v>
      </c>
      <c r="J48" s="415">
        <f>'2014-25 ES CT E Table D-$'!J62/'2014-24 ES CT E Table D1-kW'!J30</f>
        <v>2728.2708389881186</v>
      </c>
      <c r="K48" s="415">
        <f>'2014-25 ES CT E Table D-$'!K62/'2014-24 ES CT E Table D1-kW'!K30</f>
        <v>2497.6164492977814</v>
      </c>
      <c r="L48" s="415">
        <f>'2014-25 ES CT E Table D-$'!L62/'2014-24 ES CT E Table D1-kW'!L30</f>
        <v>1571.8742062594883</v>
      </c>
      <c r="M48" s="415">
        <f>'2014-25 ES CT E Table D-$'!M62/'2014-24 ES CT E Table D1-kW'!M30</f>
        <v>1467.6419441981193</v>
      </c>
      <c r="N48" s="415">
        <f>'2014-25 ES CT E Table D-$'!N62/'2014-24 ES CT E Table D1-kW'!N30</f>
        <v>1346.9306208333608</v>
      </c>
      <c r="O48" s="415">
        <f>'2014-25 ES CT E Table D-$'!O62/'2014-24 ES CT E Table D1-kW'!O30</f>
        <v>1242.4890421799598</v>
      </c>
      <c r="P48" s="415">
        <f>'2014-25 ES CT E Table D-$'!P62/'2014-24 ES CT E Table D1-kW'!P30</f>
        <v>1190.6491387983733</v>
      </c>
    </row>
  </sheetData>
  <mergeCells count="6">
    <mergeCell ref="D42:P42"/>
    <mergeCell ref="D4:M4"/>
    <mergeCell ref="D2:P2"/>
    <mergeCell ref="D3:P3"/>
    <mergeCell ref="D7:P7"/>
    <mergeCell ref="D15:P15"/>
  </mergeCells>
  <printOptions horizontalCentered="1"/>
  <pageMargins left="0.7" right="0.7" top="0.75" bottom="0.75" header="0.3" footer="0.3"/>
  <pageSetup scale="36"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tabColor theme="9" tint="0.39997558519241921"/>
  </sheetPr>
  <dimension ref="A1:U25"/>
  <sheetViews>
    <sheetView topLeftCell="C1" zoomScale="70" zoomScaleNormal="70" workbookViewId="0">
      <selection activeCell="F1" sqref="F1"/>
    </sheetView>
  </sheetViews>
  <sheetFormatPr defaultRowHeight="12.75" x14ac:dyDescent="0.2"/>
  <cols>
    <col min="1" max="1" width="5.7109375" hidden="1" customWidth="1"/>
    <col min="2" max="2" width="3" hidden="1" customWidth="1"/>
    <col min="3" max="4" width="3" customWidth="1"/>
    <col min="5" max="5" width="76.28515625" customWidth="1"/>
    <col min="6" max="6" width="15.140625" hidden="1" customWidth="1"/>
    <col min="7" max="8" width="15.85546875" customWidth="1"/>
    <col min="9" max="9" width="17.42578125" customWidth="1"/>
    <col min="10" max="10" width="17.7109375" customWidth="1"/>
    <col min="11" max="17" width="15.42578125" customWidth="1"/>
  </cols>
  <sheetData>
    <row r="1" spans="1:21" x14ac:dyDescent="0.2">
      <c r="F1" s="4"/>
      <c r="G1" s="4"/>
      <c r="H1" s="4"/>
      <c r="I1" s="4"/>
      <c r="J1" s="4"/>
      <c r="K1" s="4"/>
      <c r="L1" s="4"/>
      <c r="M1" s="4"/>
      <c r="N1" s="4"/>
      <c r="O1" s="4"/>
      <c r="P1" s="4"/>
      <c r="Q1" s="4"/>
    </row>
    <row r="2" spans="1:21" ht="23.25" x14ac:dyDescent="0.35">
      <c r="E2" s="869" t="s">
        <v>181</v>
      </c>
      <c r="F2" s="869"/>
      <c r="G2" s="869"/>
      <c r="H2" s="869"/>
      <c r="I2" s="869"/>
      <c r="J2" s="869"/>
      <c r="K2" s="869"/>
      <c r="L2" s="869"/>
      <c r="M2" s="869"/>
      <c r="N2" s="869"/>
      <c r="O2" s="955"/>
      <c r="P2" s="955"/>
      <c r="Q2" s="955"/>
    </row>
    <row r="3" spans="1:21" ht="23.25" x14ac:dyDescent="0.35">
      <c r="E3" s="950" t="s">
        <v>186</v>
      </c>
      <c r="F3" s="950"/>
      <c r="G3" s="950"/>
      <c r="H3" s="950"/>
      <c r="I3" s="950"/>
      <c r="J3" s="950"/>
      <c r="K3" s="950"/>
      <c r="L3" s="950"/>
      <c r="M3" s="950"/>
      <c r="N3" s="950"/>
      <c r="O3" s="955"/>
      <c r="P3" s="955"/>
      <c r="Q3" s="955"/>
    </row>
    <row r="4" spans="1:21" ht="18.75" x14ac:dyDescent="0.3">
      <c r="E4" s="962" t="s">
        <v>13</v>
      </c>
      <c r="F4" s="962"/>
      <c r="G4" s="962"/>
      <c r="H4" s="962"/>
      <c r="I4" s="962"/>
      <c r="J4" s="962"/>
      <c r="K4" s="962"/>
      <c r="L4" s="962"/>
      <c r="M4" s="962"/>
      <c r="N4" s="962"/>
      <c r="O4" s="579"/>
      <c r="P4" s="579"/>
      <c r="Q4" s="579"/>
    </row>
    <row r="5" spans="1:21" ht="18" x14ac:dyDescent="0.25">
      <c r="C5" s="955"/>
      <c r="D5" s="955"/>
      <c r="E5" s="290"/>
      <c r="F5" s="290">
        <v>2013</v>
      </c>
      <c r="G5" s="290">
        <v>2014</v>
      </c>
      <c r="H5" s="290">
        <v>2015</v>
      </c>
      <c r="I5" s="290">
        <v>2016</v>
      </c>
      <c r="J5" s="290">
        <v>2017</v>
      </c>
      <c r="K5" s="290">
        <v>2018</v>
      </c>
      <c r="L5" s="290">
        <v>2019</v>
      </c>
      <c r="M5" s="290">
        <v>2020</v>
      </c>
      <c r="N5" s="290">
        <v>2021</v>
      </c>
      <c r="O5" s="290">
        <v>2022</v>
      </c>
      <c r="P5" s="290">
        <v>2023</v>
      </c>
      <c r="Q5" s="290">
        <v>2024</v>
      </c>
      <c r="R5" s="955"/>
      <c r="S5" s="955"/>
      <c r="T5" s="955"/>
      <c r="U5" s="955"/>
    </row>
    <row r="6" spans="1:21" ht="19.5" customHeight="1" thickBot="1" x14ac:dyDescent="0.3">
      <c r="C6" s="955"/>
      <c r="D6" s="955"/>
      <c r="E6" s="371"/>
      <c r="F6" s="372" t="s">
        <v>98</v>
      </c>
      <c r="G6" s="372" t="s">
        <v>98</v>
      </c>
      <c r="H6" s="372" t="s">
        <v>98</v>
      </c>
      <c r="I6" s="372" t="s">
        <v>98</v>
      </c>
      <c r="J6" s="372" t="s">
        <v>98</v>
      </c>
      <c r="K6" s="372" t="s">
        <v>98</v>
      </c>
      <c r="L6" s="372" t="s">
        <v>98</v>
      </c>
      <c r="M6" s="372" t="s">
        <v>98</v>
      </c>
      <c r="N6" s="372" t="s">
        <v>98</v>
      </c>
      <c r="O6" s="372" t="s">
        <v>269</v>
      </c>
      <c r="P6" s="372" t="s">
        <v>269</v>
      </c>
      <c r="Q6" s="372" t="s">
        <v>269</v>
      </c>
      <c r="R6" s="955"/>
      <c r="S6" s="955"/>
      <c r="T6" s="955"/>
      <c r="U6" s="955"/>
    </row>
    <row r="7" spans="1:21" ht="19.5" customHeight="1" thickBot="1" x14ac:dyDescent="0.3">
      <c r="C7" s="955"/>
      <c r="D7" s="955"/>
      <c r="E7" s="857" t="s">
        <v>15</v>
      </c>
      <c r="F7" s="857"/>
      <c r="G7" s="857"/>
      <c r="H7" s="857"/>
      <c r="I7" s="857"/>
      <c r="J7" s="857"/>
      <c r="K7" s="857"/>
      <c r="L7" s="857"/>
      <c r="M7" s="857"/>
      <c r="N7" s="857"/>
      <c r="O7" s="952"/>
      <c r="P7" s="952"/>
      <c r="Q7" s="952"/>
      <c r="R7" s="955"/>
      <c r="S7" s="955"/>
      <c r="T7" s="955"/>
      <c r="U7" s="955"/>
    </row>
    <row r="8" spans="1:21" ht="23.25" customHeight="1" thickBot="1" x14ac:dyDescent="0.3">
      <c r="A8" s="24" t="s">
        <v>43</v>
      </c>
      <c r="C8" s="955"/>
      <c r="D8" s="955"/>
      <c r="E8" s="238" t="s">
        <v>165</v>
      </c>
      <c r="F8" s="417">
        <f>'2014-25 ES CT E Table D-$'!E8/('2014-25 ESCTETable D2-annualkWh'!E9*1000)</f>
        <v>0.103409183408337</v>
      </c>
      <c r="G8" s="417">
        <f>'2014-25 ES CT E Table D-$'!F8/('2014-25 ESCTETable D2-annualkWh'!F9*1000)</f>
        <v>0.18004307569158989</v>
      </c>
      <c r="H8" s="417">
        <f>'2014-25 ES CT E Table D-$'!G8/('2014-25 ESCTETable D2-annualkWh'!G9*1000)</f>
        <v>0.2113232284173174</v>
      </c>
      <c r="I8" s="417">
        <f>'2014-25 ES CT E Table D-$'!H8/('2014-25 ESCTETable D2-annualkWh'!H9*1000)</f>
        <v>0.18107055304651365</v>
      </c>
      <c r="J8" s="417">
        <f>'2014-25 ES CT E Table D-$'!I8/('2014-25 ESCTETable D2-annualkWh'!I9*1000)</f>
        <v>0.13153377753842169</v>
      </c>
      <c r="K8" s="417">
        <f>'2014-25 ES CT E Table D-$'!J8/('2014-25 ESCTETable D2-annualkWh'!J9*1000)</f>
        <v>0.26653331087289456</v>
      </c>
      <c r="L8" s="417">
        <f>'2014-25 ES CT E Table D-$'!K8/('2014-25 ESCTETable D2-annualkWh'!K9*1000)</f>
        <v>0.2625811844694107</v>
      </c>
      <c r="M8" s="417">
        <f>'2014-25 ES CT E Table D-$'!L8/('2014-25 ESCTETable D2-annualkWh'!L9*1000)</f>
        <v>0.27845055694068716</v>
      </c>
      <c r="N8" s="417">
        <f>'2014-25 ES CT E Table D-$'!M8/('2014-25 ESCTETable D2-annualkWh'!M9*1000)</f>
        <v>0.20988885025400697</v>
      </c>
      <c r="O8" s="417">
        <f>'2014-25 ES CT E Table D-$'!N8/('2014-25 ESCTETable D2-annualkWh'!N9*1000)</f>
        <v>0.35833543654083916</v>
      </c>
      <c r="P8" s="417">
        <f>'2014-25 ES CT E Table D-$'!O8/('2014-25 ESCTETable D2-annualkWh'!O9*1000)</f>
        <v>0.54968523324692298</v>
      </c>
      <c r="Q8" s="417">
        <f>'2014-25 ES CT E Table D-$'!P8/('2014-25 ESCTETable D2-annualkWh'!P9*1000)</f>
        <v>0.61212369757243545</v>
      </c>
      <c r="R8" s="955"/>
      <c r="S8" s="955"/>
      <c r="T8" s="955"/>
      <c r="U8" s="955"/>
    </row>
    <row r="9" spans="1:21" ht="21.75" customHeight="1" thickBot="1" x14ac:dyDescent="0.3">
      <c r="A9" s="24" t="s">
        <v>43</v>
      </c>
      <c r="C9" s="955"/>
      <c r="D9" s="955"/>
      <c r="E9" s="243" t="s">
        <v>115</v>
      </c>
      <c r="F9" s="417">
        <f>'2014-25 ES CT E Table D-$'!E9/('2014-25 ESCTETable D2-annualkWh'!E10*1000)</f>
        <v>0.756140092774367</v>
      </c>
      <c r="G9" s="417">
        <f>'2014-25 ES CT E Table D-$'!F9/('2014-25 ESCTETable D2-annualkWh'!F10*1000)</f>
        <v>0.55651097657576098</v>
      </c>
      <c r="H9" s="417">
        <f>'2014-25 ES CT E Table D-$'!G9/('2014-25 ESCTETable D2-annualkWh'!G10*1000)</f>
        <v>0.71092080051727924</v>
      </c>
      <c r="I9" s="417">
        <f>'2014-25 ES CT E Table D-$'!H9/('2014-25 ESCTETable D2-annualkWh'!H10*1000)</f>
        <v>0.94479037928345577</v>
      </c>
      <c r="J9" s="417">
        <f>'2014-25 ES CT E Table D-$'!I9/('2014-25 ESCTETable D2-annualkWh'!I10*1000)</f>
        <v>0.88844649024342814</v>
      </c>
      <c r="K9" s="417">
        <f>'2014-25 ES CT E Table D-$'!J9/('2014-25 ESCTETable D2-annualkWh'!J10*1000)</f>
        <v>0.98243002450401429</v>
      </c>
      <c r="L9" s="417">
        <f>'2014-25 ES CT E Table D-$'!K9/('2014-25 ESCTETable D2-annualkWh'!K10*1000)</f>
        <v>0.57683884726656531</v>
      </c>
      <c r="M9" s="417">
        <f>'2014-25 ES CT E Table D-$'!L9/('2014-25 ESCTETable D2-annualkWh'!L10*1000)</f>
        <v>0.50092800193216591</v>
      </c>
      <c r="N9" s="417">
        <f>'2014-25 ES CT E Table D-$'!M9/('2014-25 ESCTETable D2-annualkWh'!M10*1000)</f>
        <v>0.73334675905912616</v>
      </c>
      <c r="O9" s="417">
        <f>'2014-25 ES CT E Table D-$'!N9/('2014-25 ESCTETable D2-annualkWh'!N10*1000)</f>
        <v>1.1906577296042749</v>
      </c>
      <c r="P9" s="417">
        <f>'2014-25 ES CT E Table D-$'!O9/('2014-25 ESCTETable D2-annualkWh'!O10*1000)</f>
        <v>1.2750981656259526</v>
      </c>
      <c r="Q9" s="417">
        <f>'2014-25 ES CT E Table D-$'!P9/('2014-25 ESCTETable D2-annualkWh'!P10*1000)</f>
        <v>1.361702204159607</v>
      </c>
      <c r="R9" s="955"/>
      <c r="S9" s="955"/>
      <c r="T9" s="955"/>
      <c r="U9" s="955"/>
    </row>
    <row r="10" spans="1:21" ht="39" customHeight="1" thickBot="1" x14ac:dyDescent="0.3">
      <c r="A10" s="24" t="s">
        <v>43</v>
      </c>
      <c r="C10" s="955"/>
      <c r="D10" s="955"/>
      <c r="E10" s="279" t="s">
        <v>419</v>
      </c>
      <c r="F10" s="417">
        <f>'2014-25 ES CT E Table D-$'!E10/('2014-25 ESCTETable D2-annualkWh'!E11*1000)</f>
        <v>0.96876946284671828</v>
      </c>
      <c r="G10" s="417">
        <f>'2014-25 ES CT E Table D-$'!F10/('2014-25 ESCTETable D2-annualkWh'!F11*1000)</f>
        <v>0.92839166914650884</v>
      </c>
      <c r="H10" s="417">
        <f>'2014-25 ES CT E Table D-$'!G10/('2014-25 ESCTETable D2-annualkWh'!G11*1000)</f>
        <v>0.89236282617346541</v>
      </c>
      <c r="I10" s="417">
        <f>'2014-25 ES CT E Table D-$'!H10/('2014-25 ESCTETable D2-annualkWh'!H11*1000)</f>
        <v>1.0435706555598645</v>
      </c>
      <c r="J10" s="417">
        <f>'2014-25 ES CT E Table D-$'!I10/('2014-25 ESCTETable D2-annualkWh'!I11*1000)</f>
        <v>0.85349869903193953</v>
      </c>
      <c r="K10" s="417">
        <f>'2014-25 ES CT E Table D-$'!J10/('2014-25 ESCTETable D2-annualkWh'!J11*1000)</f>
        <v>0.76166581853824511</v>
      </c>
      <c r="L10" s="417">
        <f>'2014-25 ES CT E Table D-$'!K10/('2014-25 ESCTETable D2-annualkWh'!K11*1000)</f>
        <v>0.76321522232767058</v>
      </c>
      <c r="M10" s="417">
        <f>'2014-25 ES CT E Table D-$'!L10/('2014-25 ESCTETable D2-annualkWh'!L11*1000)</f>
        <v>1.9947820119704291</v>
      </c>
      <c r="N10" s="417">
        <f>'2014-25 ES CT E Table D-$'!M10/('2014-25 ESCTETable D2-annualkWh'!M11*1000)</f>
        <v>2.9144969861818186</v>
      </c>
      <c r="O10" s="417">
        <f>'2014-25 ES CT E Table D-$'!N10/('2014-25 ESCTETable D2-annualkWh'!N11*1000)</f>
        <v>3.3410541432623551</v>
      </c>
      <c r="P10" s="417">
        <f>'2014-25 ES CT E Table D-$'!O10/('2014-25 ESCTETable D2-annualkWh'!O11*1000)</f>
        <v>5.0816861939109446</v>
      </c>
      <c r="Q10" s="417">
        <f>'2014-25 ES CT E Table D-$'!P10/('2014-25 ESCTETable D2-annualkWh'!P11*1000)</f>
        <v>4.8551234758140112</v>
      </c>
      <c r="R10" s="955"/>
      <c r="S10" s="955"/>
      <c r="T10" s="955"/>
      <c r="U10" s="955"/>
    </row>
    <row r="11" spans="1:21" ht="18.75" thickBot="1" x14ac:dyDescent="0.3">
      <c r="A11" s="24"/>
      <c r="C11" s="955"/>
      <c r="D11" s="955"/>
      <c r="E11" s="279" t="s">
        <v>520</v>
      </c>
      <c r="F11" s="417">
        <v>0</v>
      </c>
      <c r="G11" s="417">
        <v>0</v>
      </c>
      <c r="H11" s="417">
        <v>0</v>
      </c>
      <c r="I11" s="417">
        <f>'2014-25 ES CT E Table D-$'!H11/('2014-25 ESCTETable D2-annualkWh'!H12*1000)</f>
        <v>0.4428566222898272</v>
      </c>
      <c r="J11" s="417">
        <f>'2014-25 ES CT E Table D-$'!I11/('2014-25 ESCTETable D2-annualkWh'!I12*1000)</f>
        <v>0.29510022749782211</v>
      </c>
      <c r="K11" s="417">
        <f>'2014-25 ES CT E Table D-$'!J11/('2014-25 ESCTETable D2-annualkWh'!J12*1000)</f>
        <v>0.56556628902003514</v>
      </c>
      <c r="L11" s="417">
        <f>'2014-25 ES CT E Table D-$'!K11/('2014-25 ESCTETable D2-annualkWh'!K12*1000)</f>
        <v>1.4629704932644811</v>
      </c>
      <c r="M11" s="417">
        <f>'2014-25 ES CT E Table D-$'!L11/('2014-25 ESCTETable D2-annualkWh'!L12*1000)</f>
        <v>2.0114008277235778</v>
      </c>
      <c r="N11" s="417">
        <f>'2014-25 ES CT E Table D-$'!M11/('2014-25 ESCTETable D2-annualkWh'!M12*1000)</f>
        <v>1.9631902429124253</v>
      </c>
      <c r="O11" s="417">
        <f>'2014-25 ES CT E Table D-$'!N11/('2014-25 ESCTETable D2-annualkWh'!N12*1000)</f>
        <v>2.1282386042161372</v>
      </c>
      <c r="P11" s="417">
        <f>'2014-25 ES CT E Table D-$'!O11/('2014-25 ESCTETable D2-annualkWh'!O12*1000)</f>
        <v>24.064001176912502</v>
      </c>
      <c r="Q11" s="417">
        <f>'2014-25 ES CT E Table D-$'!P11/('2014-25 ESCTETable D2-annualkWh'!P12*1000)</f>
        <v>-6.774342552056984</v>
      </c>
      <c r="R11" s="955"/>
      <c r="S11" s="955"/>
      <c r="T11" s="955"/>
      <c r="U11" s="955"/>
    </row>
    <row r="12" spans="1:21" ht="18.75" thickBot="1" x14ac:dyDescent="0.3">
      <c r="A12" s="27" t="s">
        <v>43</v>
      </c>
      <c r="C12" s="955"/>
      <c r="D12" s="955"/>
      <c r="E12" s="238" t="s">
        <v>130</v>
      </c>
      <c r="F12" s="417">
        <f>'2014-25 ES CT E Table D-$'!E12/('2014-25 ESCTETable D2-annualkWh'!E13*1000)</f>
        <v>1.1716951028305314</v>
      </c>
      <c r="G12" s="417">
        <f>'2014-25 ES CT E Table D-$'!F12/('2014-25 ESCTETable D2-annualkWh'!F13*1000)</f>
        <v>1.5702738773048925</v>
      </c>
      <c r="H12" s="417">
        <f>'2014-25 ES CT E Table D-$'!G12/('2014-25 ESCTETable D2-annualkWh'!G13*1000)</f>
        <v>1.230288172396288</v>
      </c>
      <c r="I12" s="417">
        <f>'2014-25 ES CT E Table D-$'!H12/('2014-25 ESCTETable D2-annualkWh'!H13*1000)</f>
        <v>1.3511035117971608</v>
      </c>
      <c r="J12" s="417">
        <f>'2014-25 ES CT E Table D-$'!I12/('2014-25 ESCTETable D2-annualkWh'!I13*1000)</f>
        <v>0.98284431995198707</v>
      </c>
      <c r="K12" s="417">
        <f>'2014-25 ES CT E Table D-$'!J12/('2014-25 ESCTETable D2-annualkWh'!J13*1000)</f>
        <v>0.88854069385514023</v>
      </c>
      <c r="L12" s="417">
        <f>'2014-25 ES CT E Table D-$'!K12/('2014-25 ESCTETable D2-annualkWh'!K13*1000)</f>
        <v>1.4677537738108677</v>
      </c>
      <c r="M12" s="417">
        <f>'2014-25 ES CT E Table D-$'!L12/('2014-25 ESCTETable D2-annualkWh'!L13*1000)</f>
        <v>2.2892596505462186</v>
      </c>
      <c r="N12" s="417">
        <f>'2014-25 ES CT E Table D-$'!M12/('2014-25 ESCTETable D2-annualkWh'!M13*1000)</f>
        <v>3.0671540060032325</v>
      </c>
      <c r="O12" s="417">
        <f>'2014-25 ES CT E Table D-$'!N12/('2014-25 ESCTETable D2-annualkWh'!N13*1000)</f>
        <v>3.6609466696715227</v>
      </c>
      <c r="P12" s="417">
        <f>'2014-25 ES CT E Table D-$'!O12/('2014-25 ESCTETable D2-annualkWh'!O13*1000)</f>
        <v>4.8446296815426795</v>
      </c>
      <c r="Q12" s="417">
        <f>'2014-25 ES CT E Table D-$'!P12/('2014-25 ESCTETable D2-annualkWh'!P13*1000)</f>
        <v>5.1876889307584007</v>
      </c>
      <c r="R12" s="955"/>
      <c r="S12" s="955"/>
      <c r="T12" s="955"/>
      <c r="U12" s="955"/>
    </row>
    <row r="13" spans="1:21" ht="18.75" thickBot="1" x14ac:dyDescent="0.3">
      <c r="A13" s="27"/>
      <c r="C13" s="955"/>
      <c r="D13" s="955"/>
      <c r="E13" s="238" t="s">
        <v>140</v>
      </c>
      <c r="F13" s="417">
        <v>0</v>
      </c>
      <c r="G13" s="417">
        <f>'2014-25 ES CT E Table D-$'!F13/('2014-25 ESCTETable D2-annualkWh'!F14*1000)</f>
        <v>9.3463396746068614E-2</v>
      </c>
      <c r="H13" s="417">
        <f>'2014-25 ES CT E Table D-$'!G13/('2014-25 ESCTETable D2-annualkWh'!G14*1000)</f>
        <v>4.9355314402467702E-2</v>
      </c>
      <c r="I13" s="417">
        <f>'2014-25 ES CT E Table D-$'!H13/('2014-25 ESCTETable D2-annualkWh'!H14*1000)</f>
        <v>0.16333783239029057</v>
      </c>
      <c r="J13" s="417">
        <f>'2014-25 ES CT E Table D-$'!I13/('2014-25 ESCTETable D2-annualkWh'!I14*1000)</f>
        <v>0.1658540362941395</v>
      </c>
      <c r="K13" s="417">
        <f>'2014-25 ES CT E Table D-$'!J13/('2014-25 ESCTETable D2-annualkWh'!J14*1000)</f>
        <v>2.3947696649672251E-2</v>
      </c>
      <c r="L13" s="417">
        <f>'2014-25 ES CT E Table D-$'!K13/('2014-25 ESCTETable D2-annualkWh'!K14*1000)</f>
        <v>8.2628802512209262E-2</v>
      </c>
      <c r="M13" s="417">
        <v>0</v>
      </c>
      <c r="N13" s="417">
        <v>0</v>
      </c>
      <c r="O13" s="417">
        <f>'2014-25 ES CT E Table D-$'!N13/('2014-25 ESCTETable D2-annualkWh'!N14*1000)</f>
        <v>0.12587412587412589</v>
      </c>
      <c r="P13" s="417">
        <f>'2014-25 ES CT E Table D-$'!O13/('2014-25 ESCTETable D2-annualkWh'!O14*1000)</f>
        <v>0.12587412587412589</v>
      </c>
      <c r="Q13" s="417">
        <f>'2014-25 ES CT E Table D-$'!P13/('2014-25 ESCTETable D2-annualkWh'!P14*1000)</f>
        <v>0.12587412587412589</v>
      </c>
      <c r="R13" s="955"/>
      <c r="S13" s="955"/>
      <c r="T13" s="955"/>
      <c r="U13" s="955"/>
    </row>
    <row r="14" spans="1:21" ht="18.75" thickBot="1" x14ac:dyDescent="0.3">
      <c r="C14" s="955"/>
      <c r="D14" s="955"/>
      <c r="E14" s="245" t="s">
        <v>291</v>
      </c>
      <c r="F14" s="418">
        <f>'2014-25 ES CT E Table D-$'!E14/('2014-25 ESCTETable D2-annualkWh'!E15*1000)</f>
        <v>0.37479269387720426</v>
      </c>
      <c r="G14" s="418">
        <f>'2014-25 ES CT E Table D-$'!F14/('2014-25 ESCTETable D2-annualkWh'!F15*1000)</f>
        <v>0.42419065625219532</v>
      </c>
      <c r="H14" s="418">
        <f>'2014-25 ES CT E Table D-$'!G14/('2014-25 ESCTETable D2-annualkWh'!G15*1000)</f>
        <v>0.36175904094725259</v>
      </c>
      <c r="I14" s="418">
        <f>'2014-25 ES CT E Table D-$'!H14/('2014-25 ESCTETable D2-annualkWh'!H15*1000)</f>
        <v>0.43115700414650593</v>
      </c>
      <c r="J14" s="418">
        <f>'2014-25 ES CT E Table D-$'!I14/('2014-25 ESCTETable D2-annualkWh'!I15*1000)</f>
        <v>0.35374394926012964</v>
      </c>
      <c r="K14" s="418">
        <f>'2014-25 ES CT E Table D-$'!J14/('2014-25 ESCTETable D2-annualkWh'!J15*1000)</f>
        <v>0.4272375344722304</v>
      </c>
      <c r="L14" s="418">
        <f>'2014-25 ES CT E Table D-$'!K14/('2014-25 ESCTETable D2-annualkWh'!K15*1000)</f>
        <v>0.56390648089752937</v>
      </c>
      <c r="M14" s="418">
        <f>'2014-25 ES CT E Table D-$'!L14/('2014-25 ESCTETable D2-annualkWh'!L15*1000)</f>
        <v>0.86864710494893149</v>
      </c>
      <c r="N14" s="418">
        <f>'2014-25 ES CT E Table D-$'!M14/('2014-25 ESCTETable D2-annualkWh'!M15*1000)</f>
        <v>1.114300430085126</v>
      </c>
      <c r="O14" s="418">
        <f>'2014-25 ES CT E Table D-$'!N14/('2014-25 ESCTETable D2-annualkWh'!N15*1000)</f>
        <v>1.886460241897342</v>
      </c>
      <c r="P14" s="418">
        <f>'2014-25 ES CT E Table D-$'!O14/('2014-25 ESCTETable D2-annualkWh'!O15*1000)</f>
        <v>3.2271557498681971</v>
      </c>
      <c r="Q14" s="418">
        <f>'2014-25 ES CT E Table D-$'!P14/('2014-25 ESCTETable D2-annualkWh'!P15*1000)</f>
        <v>4.0734782281748254</v>
      </c>
      <c r="R14" s="955"/>
      <c r="S14" s="955"/>
      <c r="T14" s="955"/>
      <c r="U14" s="955"/>
    </row>
    <row r="15" spans="1:21" ht="21.75" customHeight="1" thickBot="1" x14ac:dyDescent="0.3">
      <c r="C15" s="955"/>
      <c r="D15" s="955"/>
      <c r="E15" s="956" t="s">
        <v>16</v>
      </c>
      <c r="F15" s="956"/>
      <c r="G15" s="956"/>
      <c r="H15" s="956"/>
      <c r="I15" s="956"/>
      <c r="J15" s="956"/>
      <c r="K15" s="956"/>
      <c r="L15" s="956"/>
      <c r="M15" s="956"/>
      <c r="N15" s="956"/>
      <c r="O15" s="952"/>
      <c r="P15" s="952"/>
      <c r="Q15" s="952"/>
      <c r="R15" s="955"/>
      <c r="S15" s="955"/>
      <c r="T15" s="955"/>
      <c r="U15" s="955"/>
    </row>
    <row r="16" spans="1:21" ht="18.75" thickBot="1" x14ac:dyDescent="0.3">
      <c r="A16" s="29" t="s">
        <v>44</v>
      </c>
      <c r="C16" s="955"/>
      <c r="D16" s="955"/>
      <c r="E16" s="238" t="s">
        <v>163</v>
      </c>
      <c r="F16" s="417">
        <f>'2014-25 ES CT E Table D-$'!E16/('2014-25 ESCTETable D2-annualkWh'!E17*1000)</f>
        <v>0.256762717451748</v>
      </c>
      <c r="G16" s="417">
        <f>'2014-25 ES CT E Table D-$'!F16/('2014-25 ESCTETable D2-annualkWh'!F17*1000)</f>
        <v>0.31953730092192945</v>
      </c>
      <c r="H16" s="417">
        <f>'2014-25 ES CT E Table D-$'!G16/('2014-25 ESCTETable D2-annualkWh'!G17*1000)</f>
        <v>0.32097730302509586</v>
      </c>
      <c r="I16" s="417">
        <f>'2014-25 ES CT E Table D-$'!H16/('2014-25 ESCTETable D2-annualkWh'!H17*1000)</f>
        <v>0.3584647452799945</v>
      </c>
      <c r="J16" s="417">
        <f>'2014-25 ES CT E Table D-$'!I16/('2014-25 ESCTETable D2-annualkWh'!I17*1000)</f>
        <v>0.28555481433691549</v>
      </c>
      <c r="K16" s="417">
        <f>'2014-25 ES CT E Table D-$'!J16/('2014-25 ESCTETable D2-annualkWh'!J17*1000)</f>
        <v>0.36909612072587328</v>
      </c>
      <c r="L16" s="417">
        <f>'2014-25 ES CT E Table D-$'!K16/('2014-25 ESCTETable D2-annualkWh'!K17*1000)</f>
        <v>0.36903493264406623</v>
      </c>
      <c r="M16" s="417">
        <f>'2014-25 ES CT E Table D-$'!L16/('2014-25 ESCTETable D2-annualkWh'!L17*1000)</f>
        <v>0.6403836010963827</v>
      </c>
      <c r="N16" s="417">
        <f>'2014-25 ES CT E Table D-$'!M16/('2014-25 ESCTETable D2-annualkWh'!M17*1000)</f>
        <v>0.41038939971406468</v>
      </c>
      <c r="O16" s="417">
        <f>'2014-25 ES CT E Table D-$'!N16/('2014-25 ESCTETable D2-annualkWh'!N17*1000)</f>
        <v>0.55832287184258689</v>
      </c>
      <c r="P16" s="417">
        <f>'2014-25 ES CT E Table D-$'!O16/('2014-25 ESCTETable D2-annualkWh'!O17*1000)</f>
        <v>0.67459093818738702</v>
      </c>
      <c r="Q16" s="417">
        <f>'2014-25 ES CT E Table D-$'!P16/('2014-25 ESCTETable D2-annualkWh'!P17*1000)</f>
        <v>0.69182626956038029</v>
      </c>
      <c r="R16" s="955"/>
      <c r="S16" s="955"/>
      <c r="T16" s="955"/>
      <c r="U16" s="955"/>
    </row>
    <row r="17" spans="1:21" ht="18.75" thickBot="1" x14ac:dyDescent="0.3">
      <c r="A17" s="29" t="s">
        <v>44</v>
      </c>
      <c r="C17" s="955"/>
      <c r="D17" s="955"/>
      <c r="E17" s="238" t="s">
        <v>160</v>
      </c>
      <c r="F17" s="417">
        <f>'2014-25 ES CT E Table D-$'!E17/('2014-25 ESCTETable D2-annualkWh'!E18*1000)</f>
        <v>0.36774295044438587</v>
      </c>
      <c r="G17" s="417">
        <f>'2014-25 ES CT E Table D-$'!F17/('2014-25 ESCTETable D2-annualkWh'!F18*1000)</f>
        <v>0.3549236021742801</v>
      </c>
      <c r="H17" s="417">
        <f>'2014-25 ES CT E Table D-$'!G17/('2014-25 ESCTETable D2-annualkWh'!G18*1000)</f>
        <v>0.32985840390968496</v>
      </c>
      <c r="I17" s="417">
        <f>'2014-25 ES CT E Table D-$'!H17/('2014-25 ESCTETable D2-annualkWh'!H18*1000)</f>
        <v>0.33816596711738411</v>
      </c>
      <c r="J17" s="417">
        <f>'2014-25 ES CT E Table D-$'!I17/('2014-25 ESCTETable D2-annualkWh'!I18*1000)</f>
        <v>0.28601909841407608</v>
      </c>
      <c r="K17" s="417">
        <f>'2014-25 ES CT E Table D-$'!J17/('2014-25 ESCTETable D2-annualkWh'!J18*1000)</f>
        <v>0.30921353626863679</v>
      </c>
      <c r="L17" s="417">
        <f>'2014-25 ES CT E Table D-$'!K17/('2014-25 ESCTETable D2-annualkWh'!K18*1000)</f>
        <v>0.30381173537008876</v>
      </c>
      <c r="M17" s="417">
        <f>'2014-25 ES CT E Table D-$'!L17/('2014-25 ESCTETable D2-annualkWh'!L18*1000)</f>
        <v>0.44468365608153854</v>
      </c>
      <c r="N17" s="417">
        <f>'2014-25 ES CT E Table D-$'!M17/('2014-25 ESCTETable D2-annualkWh'!M18*1000)</f>
        <v>0.36971113488706919</v>
      </c>
      <c r="O17" s="417">
        <f>'2014-25 ES CT E Table D-$'!N17/('2014-25 ESCTETable D2-annualkWh'!N18*1000)</f>
        <v>0.56801626890584334</v>
      </c>
      <c r="P17" s="417">
        <f>'2014-25 ES CT E Table D-$'!O17/('2014-25 ESCTETable D2-annualkWh'!O18*1000)</f>
        <v>0.59275546310289917</v>
      </c>
      <c r="Q17" s="417">
        <f>'2014-25 ES CT E Table D-$'!P17/('2014-25 ESCTETable D2-annualkWh'!P18*1000)</f>
        <v>0.60607000878087824</v>
      </c>
      <c r="R17" s="955"/>
      <c r="S17" s="955"/>
      <c r="T17" s="955"/>
      <c r="U17" s="955"/>
    </row>
    <row r="18" spans="1:21" ht="36.75" thickBot="1" x14ac:dyDescent="0.3">
      <c r="A18" s="29" t="s">
        <v>44</v>
      </c>
      <c r="C18" s="955"/>
      <c r="D18" s="955"/>
      <c r="E18" s="279" t="s">
        <v>411</v>
      </c>
      <c r="F18" s="417">
        <f>'2014-25 ES CT E Table D-$'!E18/('2014-25 ESCTETable D2-annualkWh'!E19*1000)</f>
        <v>0.3392648959259657</v>
      </c>
      <c r="G18" s="417">
        <f>'2014-25 ES CT E Table D-$'!F18/('2014-25 ESCTETable D2-annualkWh'!F19*1000)</f>
        <v>0.22627400606751688</v>
      </c>
      <c r="H18" s="417">
        <f>'2014-25 ES CT E Table D-$'!G18/('2014-25 ESCTETable D2-annualkWh'!G19*1000)</f>
        <v>0.31932517343074951</v>
      </c>
      <c r="I18" s="417">
        <f>'2014-25 ES CT E Table D-$'!H18/('2014-25 ESCTETable D2-annualkWh'!H19*1000)</f>
        <v>0.30277948423020118</v>
      </c>
      <c r="J18" s="417">
        <f>'2014-25 ES CT E Table D-$'!I18/('2014-25 ESCTETable D2-annualkWh'!I19*1000)</f>
        <v>0.27037736690951725</v>
      </c>
      <c r="K18" s="417">
        <f>'2014-25 ES CT E Table D-$'!J18/('2014-25 ESCTETable D2-annualkWh'!J19*1000)</f>
        <v>0.34347165267921337</v>
      </c>
      <c r="L18" s="417">
        <f>'2014-25 ES CT E Table D-$'!K18/('2014-25 ESCTETable D2-annualkWh'!K19*1000)</f>
        <v>0.2899055451555978</v>
      </c>
      <c r="M18" s="417">
        <f>'2014-25 ES CT E Table D-$'!L18/('2014-25 ESCTETable D2-annualkWh'!L19*1000)</f>
        <v>0.35925934705439633</v>
      </c>
      <c r="N18" s="417">
        <f>'2014-25 ES CT E Table D-$'!M18/('2014-25 ESCTETable D2-annualkWh'!M19*1000)</f>
        <v>0.24127196557834851</v>
      </c>
      <c r="O18" s="417">
        <f>'2014-25 ES CT E Table D-$'!N18/('2014-25 ESCTETable D2-annualkWh'!N19*1000)</f>
        <v>0.34514437804601855</v>
      </c>
      <c r="P18" s="417">
        <f>'2014-25 ES CT E Table D-$'!O18/('2014-25 ESCTETable D2-annualkWh'!O19*1000)</f>
        <v>0.35654218503371032</v>
      </c>
      <c r="Q18" s="417">
        <f>'2014-25 ES CT E Table D-$'!P18/('2014-25 ESCTETable D2-annualkWh'!P19*1000)</f>
        <v>0.33789978464712328</v>
      </c>
      <c r="R18" s="955"/>
      <c r="S18" s="955"/>
      <c r="T18" s="955"/>
      <c r="U18" s="955"/>
    </row>
    <row r="19" spans="1:21" ht="24" customHeight="1" thickBot="1" x14ac:dyDescent="0.3">
      <c r="A19" s="29" t="s">
        <v>44</v>
      </c>
      <c r="C19" s="955"/>
      <c r="D19" s="955"/>
      <c r="E19" s="238" t="s">
        <v>117</v>
      </c>
      <c r="F19" s="417">
        <f>'2014-25 ES CT E Table D-$'!E19/('2014-25 ESCTETable D2-annualkWh'!E20*1000)</f>
        <v>0.49735883256671704</v>
      </c>
      <c r="G19" s="417">
        <f>'2014-25 ES CT E Table D-$'!F19/('2014-25 ESCTETable D2-annualkWh'!F20*1000)</f>
        <v>0.49226750290770577</v>
      </c>
      <c r="H19" s="417">
        <f>'2014-25 ES CT E Table D-$'!G19/('2014-25 ESCTETable D2-annualkWh'!G20*1000)</f>
        <v>0.47591455764441909</v>
      </c>
      <c r="I19" s="417">
        <f>'2014-25 ES CT E Table D-$'!H19/('2014-25 ESCTETable D2-annualkWh'!H20*1000)</f>
        <v>0.50907054452455469</v>
      </c>
      <c r="J19" s="417">
        <f>'2014-25 ES CT E Table D-$'!I19/('2014-25 ESCTETable D2-annualkWh'!I20*1000)</f>
        <v>0.51343939952618012</v>
      </c>
      <c r="K19" s="417">
        <f>'2014-25 ES CT E Table D-$'!J19/('2014-25 ESCTETable D2-annualkWh'!J20*1000)</f>
        <v>0.42098949296501165</v>
      </c>
      <c r="L19" s="417">
        <f>'2014-25 ES CT E Table D-$'!K19/('2014-25 ESCTETable D2-annualkWh'!K20*1000)</f>
        <v>0.3606698195232681</v>
      </c>
      <c r="M19" s="417">
        <f>'2014-25 ES CT E Table D-$'!L19/('2014-25 ESCTETable D2-annualkWh'!L20*1000)</f>
        <v>0.54987623876163172</v>
      </c>
      <c r="N19" s="417">
        <f>'2014-25 ES CT E Table D-$'!M19/('2014-25 ESCTETable D2-annualkWh'!M20*1000)</f>
        <v>0.84366179283292886</v>
      </c>
      <c r="O19" s="417">
        <f>'2014-25 ES CT E Table D-$'!N19/('2014-25 ESCTETable D2-annualkWh'!N20*1000)</f>
        <v>0.56573975336242899</v>
      </c>
      <c r="P19" s="417">
        <f>'2014-25 ES CT E Table D-$'!O19/('2014-25 ESCTETable D2-annualkWh'!O20*1000)</f>
        <v>0.60266564764094566</v>
      </c>
      <c r="Q19" s="417">
        <f>'2014-25 ES CT E Table D-$'!P19/('2014-25 ESCTETable D2-annualkWh'!P20*1000)</f>
        <v>0.633252334538701</v>
      </c>
      <c r="R19" s="955"/>
      <c r="S19" s="955"/>
      <c r="T19" s="955"/>
      <c r="U19" s="955"/>
    </row>
    <row r="20" spans="1:21" ht="25.5" customHeight="1" thickBot="1" x14ac:dyDescent="0.3">
      <c r="C20" s="955"/>
      <c r="D20" s="955"/>
      <c r="E20" s="259" t="s">
        <v>277</v>
      </c>
      <c r="F20" s="418">
        <f>'2014-25 ES CT E Table D-$'!E20/('2014-25 ESCTETable D2-annualkWh'!E21*1000)</f>
        <v>0.35994038979720094</v>
      </c>
      <c r="G20" s="418">
        <f>'2014-25 ES CT E Table D-$'!F20/('2014-25 ESCTETable D2-annualkWh'!F21*1000)</f>
        <v>0.36243470098414043</v>
      </c>
      <c r="H20" s="418">
        <f>'2014-25 ES CT E Table D-$'!G20/('2014-25 ESCTETable D2-annualkWh'!G21*1000)</f>
        <v>0.35357508181450226</v>
      </c>
      <c r="I20" s="418">
        <f>'2014-25 ES CT E Table D-$'!H20/('2014-25 ESCTETable D2-annualkWh'!H21*1000)</f>
        <v>0.37041555428367567</v>
      </c>
      <c r="J20" s="418">
        <f>'2014-25 ES CT E Table D-$'!I20/('2014-25 ESCTETable D2-annualkWh'!I21*1000)</f>
        <v>0.33401871974719111</v>
      </c>
      <c r="K20" s="418">
        <f>'2014-25 ES CT E Table D-$'!J20/('2014-25 ESCTETable D2-annualkWh'!J21*1000)</f>
        <v>0.33887675190304201</v>
      </c>
      <c r="L20" s="418">
        <f>'2014-25 ES CT E Table D-$'!K20/('2014-25 ESCTETable D2-annualkWh'!K21*1000)</f>
        <v>0.32027975657018548</v>
      </c>
      <c r="M20" s="418">
        <f>'2014-25 ES CT E Table D-$'!L20/('2014-25 ESCTETable D2-annualkWh'!L21*1000)</f>
        <v>0.47922859370698501</v>
      </c>
      <c r="N20" s="418">
        <f>'2014-25 ES CT E Table D-$'!M20/('2014-25 ESCTETable D2-annualkWh'!M21*1000)</f>
        <v>0.42185637292890693</v>
      </c>
      <c r="O20" s="418">
        <f>'2014-25 ES CT E Table D-$'!N20/('2014-25 ESCTETable D2-annualkWh'!N21*1000)</f>
        <v>0.54910286721372703</v>
      </c>
      <c r="P20" s="418">
        <f>'2014-25 ES CT E Table D-$'!O20/('2014-25 ESCTETable D2-annualkWh'!O21*1000)</f>
        <v>0.58878840608772232</v>
      </c>
      <c r="Q20" s="418">
        <f>'2014-25 ES CT E Table D-$'!P20/('2014-25 ESCTETable D2-annualkWh'!P21*1000)</f>
        <v>0.59824716514439713</v>
      </c>
      <c r="R20" s="955"/>
      <c r="S20" s="955"/>
      <c r="T20" s="955"/>
      <c r="U20" s="955"/>
    </row>
    <row r="21" spans="1:21" ht="18.75" customHeight="1" thickBot="1" x14ac:dyDescent="0.3">
      <c r="C21" s="955"/>
      <c r="D21" s="955"/>
      <c r="E21" s="259" t="s">
        <v>24</v>
      </c>
      <c r="F21" s="419"/>
      <c r="G21" s="419"/>
      <c r="H21" s="419"/>
      <c r="I21" s="419"/>
      <c r="J21" s="419"/>
      <c r="K21" s="419"/>
      <c r="L21" s="419"/>
      <c r="M21" s="419"/>
      <c r="N21" s="419"/>
      <c r="O21" s="419"/>
      <c r="P21" s="419"/>
      <c r="Q21" s="419"/>
      <c r="R21" s="955"/>
      <c r="S21" s="955"/>
      <c r="T21" s="955"/>
      <c r="U21" s="955"/>
    </row>
    <row r="22" spans="1:21" ht="18.75" customHeight="1" thickBot="1" x14ac:dyDescent="0.3">
      <c r="C22" s="955"/>
      <c r="D22" s="955"/>
      <c r="E22" s="376" t="s">
        <v>25</v>
      </c>
      <c r="F22" s="419">
        <f>'2014-25 ES CT E Table D-$'!E58/('2014-25 ESCTETable D2-annualkWh'!E22*1000)</f>
        <v>0.3952506587647599</v>
      </c>
      <c r="G22" s="419">
        <f>'2014-25 ES CT E Table D-$'!F58/('2014-25 ESCTETable D2-annualkWh'!F22*1000)</f>
        <v>0.46669117882425376</v>
      </c>
      <c r="H22" s="419">
        <f>'2014-25 ES CT E Table D-$'!G58/('2014-25 ESCTETable D2-annualkWh'!G22*1000)</f>
        <v>0.40219286962200884</v>
      </c>
      <c r="I22" s="419">
        <f>'2014-25 ES CT E Table D-$'!H58/('2014-25 ESCTETable D2-annualkWh'!H22*1000)</f>
        <v>0.47422759787471452</v>
      </c>
      <c r="J22" s="419">
        <f>'2014-25 ES CT E Table D-$'!I58/('2014-25 ESCTETable D2-annualkWh'!I22*1000)</f>
        <v>0.38433193442582497</v>
      </c>
      <c r="K22" s="419">
        <f>'2014-25 ES CT E Table D-$'!J58/('2014-25 ESCTETable D2-annualkWh'!J22*1000)</f>
        <v>0.46451025049354094</v>
      </c>
      <c r="L22" s="419">
        <f>'2014-25 ES CT E Table D-$'!K58/('2014-25 ESCTETable D2-annualkWh'!K22*1000)</f>
        <v>0.61210588008707045</v>
      </c>
      <c r="M22" s="419">
        <f>'2014-25 ES CT E Table D-$'!L58/('2014-25 ESCTETable D2-annualkWh'!L22*1000)</f>
        <v>0.9662158743060999</v>
      </c>
      <c r="N22" s="419">
        <f>'2014-25 ES CT E Table D-$'!M58/('2014-25 ESCTETable D2-annualkWh'!M22*1000)</f>
        <v>1.1880041516961071</v>
      </c>
      <c r="O22" s="419">
        <f>'2014-25 ES CT E Table D-$'!N58/('2014-25 ESCTETable D2-annualkWh'!N22*1000)</f>
        <v>2.1219346414878628</v>
      </c>
      <c r="P22" s="419">
        <f>'2014-25 ES CT E Table D-$'!O58/('2014-25 ESCTETable D2-annualkWh'!O22*1000)</f>
        <v>3.6253772974178951</v>
      </c>
      <c r="Q22" s="419">
        <f>'2014-25 ES CT E Table D-$'!P58/('2014-25 ESCTETable D2-annualkWh'!P22*1000)</f>
        <v>4.6381512372226386</v>
      </c>
      <c r="R22" s="955"/>
      <c r="S22" s="955"/>
      <c r="T22" s="955"/>
      <c r="U22" s="955"/>
    </row>
    <row r="23" spans="1:21" ht="18.75" customHeight="1" thickBot="1" x14ac:dyDescent="0.3">
      <c r="C23" s="955"/>
      <c r="D23" s="955"/>
      <c r="E23" s="376" t="s">
        <v>26</v>
      </c>
      <c r="F23" s="419">
        <f>'2014-25 ES CT E Table D-$'!E59/('2014-25 ESCTETable D2-annualkWh'!E23*1000)</f>
        <v>0.39663807836771264</v>
      </c>
      <c r="G23" s="419">
        <f>'2014-25 ES CT E Table D-$'!F59/('2014-25 ESCTETable D2-annualkWh'!F23*1000)</f>
        <v>0.41458597820474746</v>
      </c>
      <c r="H23" s="419">
        <f>'2014-25 ES CT E Table D-$'!G59/('2014-25 ESCTETable D2-annualkWh'!G23*1000)</f>
        <v>0.40095542009876345</v>
      </c>
      <c r="I23" s="419">
        <f>'2014-25 ES CT E Table D-$'!H59/('2014-25 ESCTETable D2-annualkWh'!H23*1000)</f>
        <v>0.42710960088617705</v>
      </c>
      <c r="J23" s="419">
        <f>'2014-25 ES CT E Table D-$'!I59/('2014-25 ESCTETable D2-annualkWh'!I23*1000)</f>
        <v>0.39365936182495265</v>
      </c>
      <c r="K23" s="419">
        <f>'2014-25 ES CT E Table D-$'!J59/('2014-25 ESCTETable D2-annualkWh'!J23*1000)</f>
        <v>0.37060230808786432</v>
      </c>
      <c r="L23" s="419">
        <f>'2014-25 ES CT E Table D-$'!K59/('2014-25 ESCTETable D2-annualkWh'!K23*1000)</f>
        <v>0.42429162098191758</v>
      </c>
      <c r="M23" s="419">
        <f>'2014-25 ES CT E Table D-$'!L59/('2014-25 ESCTETable D2-annualkWh'!L23*1000)</f>
        <v>0.52676102333862085</v>
      </c>
      <c r="N23" s="419">
        <f>'2014-25 ES CT E Table D-$'!M59/('2014-25 ESCTETable D2-annualkWh'!M23*1000)</f>
        <v>0.45621136096502657</v>
      </c>
      <c r="O23" s="419">
        <f>'2014-25 ES CT E Table D-$'!N59/('2014-25 ESCTETable D2-annualkWh'!N23*1000)</f>
        <v>0.6108893683995924</v>
      </c>
      <c r="P23" s="419">
        <f>'2014-25 ES CT E Table D-$'!O59/('2014-25 ESCTETable D2-annualkWh'!O23*1000)</f>
        <v>0.65313750908737667</v>
      </c>
      <c r="Q23" s="419">
        <f>'2014-25 ES CT E Table D-$'!P59/('2014-25 ESCTETable D2-annualkWh'!P23*1000)</f>
        <v>0.6729255771052135</v>
      </c>
      <c r="R23" s="955"/>
      <c r="S23" s="955"/>
      <c r="T23" s="955"/>
      <c r="U23" s="955"/>
    </row>
    <row r="24" spans="1:21" ht="18.75" thickBot="1" x14ac:dyDescent="0.3">
      <c r="C24" s="955"/>
      <c r="D24" s="955"/>
      <c r="E24" s="376" t="s">
        <v>124</v>
      </c>
      <c r="F24" s="418">
        <f>'2014-25 ES CT E Table D-$'!E61/('2014-25 ESCTETable D2-annualkWh'!E24*1000)</f>
        <v>0.46246062883684691</v>
      </c>
      <c r="G24" s="418">
        <f>'2014-25 ES CT E Table D-$'!F61/('2014-25 ESCTETable D2-annualkWh'!F24*1000)</f>
        <v>0.47995280205907587</v>
      </c>
      <c r="H24" s="418">
        <f>'2014-25 ES CT E Table D-$'!G61/('2014-25 ESCTETable D2-annualkWh'!G24*1000)</f>
        <v>0.44308373061433037</v>
      </c>
      <c r="I24" s="418">
        <f>'2014-25 ES CT E Table D-$'!H61/('2014-25 ESCTETable D2-annualkWh'!H24*1000)</f>
        <v>0.48857619582468875</v>
      </c>
      <c r="J24" s="418">
        <f>'2014-25 ES CT E Table D-$'!I61/('2014-25 ESCTETable D2-annualkWh'!I24*1000)</f>
        <v>0.43148756772991287</v>
      </c>
      <c r="K24" s="418">
        <f>'2014-25 ES CT E Table D-$'!J61/('2014-25 ESCTETable D2-annualkWh'!J24*1000)</f>
        <v>0.45617494304665235</v>
      </c>
      <c r="L24" s="418">
        <f>'2014-25 ES CT E Table D-$'!K61/('2014-25 ESCTETable D2-annualkWh'!K24*1000)</f>
        <v>0.53223199538585175</v>
      </c>
      <c r="M24" s="418">
        <f>'2014-25 ES CT E Table D-$'!L61/('2014-25 ESCTETable D2-annualkWh'!L24*1000)</f>
        <v>0.73873800802889711</v>
      </c>
      <c r="N24" s="418">
        <f>'2014-25 ES CT E Table D-$'!M61/('2014-25 ESCTETable D2-annualkWh'!M24*1000)</f>
        <v>0.76247853498426355</v>
      </c>
      <c r="O24" s="418">
        <f>'2014-25 ES CT E Table D-$'!N61/('2014-25 ESCTETable D2-annualkWh'!N24*1000)</f>
        <v>1.038539299399434</v>
      </c>
      <c r="P24" s="418">
        <f>'2014-25 ES CT E Table D-$'!O61/('2014-25 ESCTETable D2-annualkWh'!O24*1000)</f>
        <v>1.2211680488107572</v>
      </c>
      <c r="Q24" s="418">
        <f>'2014-25 ES CT E Table D-$'!P61/('2014-25 ESCTETable D2-annualkWh'!P24*1000)</f>
        <v>1.2897046960343908</v>
      </c>
      <c r="R24" s="955"/>
      <c r="S24" s="955"/>
      <c r="T24" s="955"/>
      <c r="U24" s="955"/>
    </row>
    <row r="25" spans="1:21" ht="21.75" customHeight="1" thickBot="1" x14ac:dyDescent="0.3">
      <c r="C25" s="955"/>
      <c r="D25" s="955"/>
      <c r="E25" s="376" t="s">
        <v>99</v>
      </c>
      <c r="F25" s="418">
        <f>'2014-25 ES CT E Table D-$'!E62/('2014-25 ESCTETable D2-annualkWh'!E24*1000)</f>
        <v>0.44354936039956716</v>
      </c>
      <c r="G25" s="418">
        <f>'2014-25 ES CT E Table D-$'!F62/('2014-25 ESCTETable D2-annualkWh'!F24*1000)</f>
        <v>0.46793395908193747</v>
      </c>
      <c r="H25" s="418">
        <f>'2014-25 ES CT E Table D-$'!G62/('2014-25 ESCTETable D2-annualkWh'!G24*1000)</f>
        <v>0.4353833128903094</v>
      </c>
      <c r="I25" s="418">
        <f>'2014-25 ES CT E Table D-$'!H62/('2014-25 ESCTETable D2-annualkWh'!H24*1000)</f>
        <v>0.48142307743561652</v>
      </c>
      <c r="J25" s="418">
        <f>'2014-25 ES CT E Table D-$'!I62/('2014-25 ESCTETable D2-annualkWh'!I24*1000)</f>
        <v>0.42337875754744397</v>
      </c>
      <c r="K25" s="418">
        <f>'2014-25 ES CT E Table D-$'!J62/('2014-25 ESCTETable D2-annualkWh'!J24*1000)</f>
        <v>0.45088868937996263</v>
      </c>
      <c r="L25" s="418">
        <f>'2014-25 ES CT E Table D-$'!K62/('2014-25 ESCTETable D2-annualkWh'!K24*1000)</f>
        <v>0.53223199538585175</v>
      </c>
      <c r="M25" s="418">
        <f>'2014-25 ES CT E Table D-$'!L62/('2014-25 ESCTETable D2-annualkWh'!L24*1000)</f>
        <v>0.73873800802889711</v>
      </c>
      <c r="N25" s="418">
        <f>'2014-25 ES CT E Table D-$'!M62/('2014-25 ESCTETable D2-annualkWh'!M24*1000)</f>
        <v>0.76247853498426355</v>
      </c>
      <c r="O25" s="418">
        <f>'2014-25 ES CT E Table D-$'!N62/('2014-25 ESCTETable D2-annualkWh'!N24*1000)</f>
        <v>1.038539299399434</v>
      </c>
      <c r="P25" s="418">
        <f>'2014-25 ES CT E Table D-$'!O62/('2014-25 ESCTETable D2-annualkWh'!O24*1000)</f>
        <v>1.2211680488107572</v>
      </c>
      <c r="Q25" s="418">
        <f>'2014-25 ES CT E Table D-$'!P62/('2014-25 ESCTETable D2-annualkWh'!P24*1000)</f>
        <v>1.2897046960343908</v>
      </c>
      <c r="R25" s="955"/>
      <c r="S25" s="955"/>
      <c r="T25" s="955"/>
      <c r="U25" s="955"/>
    </row>
  </sheetData>
  <mergeCells count="7">
    <mergeCell ref="C5:D25"/>
    <mergeCell ref="R5:U25"/>
    <mergeCell ref="E4:N4"/>
    <mergeCell ref="E2:Q2"/>
    <mergeCell ref="E3:Q3"/>
    <mergeCell ref="E7:Q7"/>
    <mergeCell ref="E15:Q15"/>
  </mergeCells>
  <printOptions horizontalCentered="1"/>
  <pageMargins left="0.7" right="0.7" top="0.75" bottom="0.75" header="0.3" footer="0.3"/>
  <pageSetup scale="35"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theme="9" tint="0.39997558519241921"/>
    <pageSetUpPr fitToPage="1"/>
  </sheetPr>
  <dimension ref="A2:P63"/>
  <sheetViews>
    <sheetView topLeftCell="C1" zoomScale="75" zoomScaleNormal="75" workbookViewId="0">
      <selection activeCell="E1" sqref="E1:E1048576"/>
    </sheetView>
  </sheetViews>
  <sheetFormatPr defaultColWidth="9.140625" defaultRowHeight="18" x14ac:dyDescent="0.25"/>
  <cols>
    <col min="1" max="1" width="5.140625" style="261" hidden="1" customWidth="1"/>
    <col min="2" max="2" width="6.28515625" style="261" hidden="1" customWidth="1"/>
    <col min="3" max="3" width="6.28515625" style="261" customWidth="1"/>
    <col min="4" max="4" width="80.7109375" style="261" customWidth="1"/>
    <col min="5" max="5" width="18.28515625" style="261" hidden="1" customWidth="1"/>
    <col min="6" max="7" width="16" style="261" customWidth="1"/>
    <col min="8" max="8" width="14.42578125" style="261" customWidth="1"/>
    <col min="9" max="9" width="15.5703125" style="261" customWidth="1"/>
    <col min="10" max="16" width="15.140625" style="261" customWidth="1"/>
    <col min="17" max="16384" width="9.140625" style="261"/>
  </cols>
  <sheetData>
    <row r="2" spans="1:16" ht="23.25" x14ac:dyDescent="0.35">
      <c r="D2" s="869" t="s">
        <v>182</v>
      </c>
      <c r="E2" s="869"/>
      <c r="F2" s="869"/>
      <c r="G2" s="869"/>
      <c r="H2" s="869"/>
      <c r="I2" s="869"/>
      <c r="J2" s="869"/>
      <c r="K2" s="869"/>
      <c r="L2" s="869"/>
      <c r="M2" s="869"/>
      <c r="N2" s="955"/>
      <c r="O2" s="955"/>
      <c r="P2" s="955"/>
    </row>
    <row r="3" spans="1:16" ht="23.25" x14ac:dyDescent="0.35">
      <c r="D3" s="950" t="s">
        <v>192</v>
      </c>
      <c r="E3" s="950"/>
      <c r="F3" s="950"/>
      <c r="G3" s="950"/>
      <c r="H3" s="950"/>
      <c r="I3" s="950"/>
      <c r="J3" s="950"/>
      <c r="K3" s="950"/>
      <c r="L3" s="950"/>
      <c r="M3" s="950"/>
      <c r="N3" s="955"/>
      <c r="O3" s="955"/>
      <c r="P3" s="955"/>
    </row>
    <row r="4" spans="1:16" x14ac:dyDescent="0.25">
      <c r="D4" s="963" t="s">
        <v>13</v>
      </c>
      <c r="E4" s="963"/>
      <c r="F4" s="963"/>
      <c r="G4" s="963"/>
      <c r="H4" s="963"/>
      <c r="I4" s="963"/>
      <c r="J4" s="963"/>
      <c r="K4" s="963"/>
      <c r="L4" s="963"/>
      <c r="M4" s="963"/>
      <c r="N4" s="580"/>
      <c r="O4" s="580"/>
      <c r="P4" s="580"/>
    </row>
    <row r="5" spans="1:16" ht="21" customHeight="1" x14ac:dyDescent="0.25">
      <c r="D5" s="290"/>
      <c r="E5" s="290">
        <v>2013</v>
      </c>
      <c r="F5" s="290">
        <v>2014</v>
      </c>
      <c r="G5" s="290">
        <v>2015</v>
      </c>
      <c r="H5" s="290">
        <v>2016</v>
      </c>
      <c r="I5" s="290">
        <v>2017</v>
      </c>
      <c r="J5" s="290">
        <v>2018</v>
      </c>
      <c r="K5" s="290">
        <v>2019</v>
      </c>
      <c r="L5" s="290">
        <v>2020</v>
      </c>
      <c r="M5" s="290">
        <v>2021</v>
      </c>
      <c r="N5" s="290">
        <v>2022</v>
      </c>
      <c r="O5" s="290">
        <v>2023</v>
      </c>
      <c r="P5" s="290">
        <v>2024</v>
      </c>
    </row>
    <row r="6" spans="1:16" ht="18.75" thickBot="1" x14ac:dyDescent="0.3">
      <c r="D6" s="371"/>
      <c r="E6" s="372" t="s">
        <v>98</v>
      </c>
      <c r="F6" s="372" t="s">
        <v>98</v>
      </c>
      <c r="G6" s="372" t="s">
        <v>98</v>
      </c>
      <c r="H6" s="372" t="s">
        <v>98</v>
      </c>
      <c r="I6" s="372" t="s">
        <v>98</v>
      </c>
      <c r="J6" s="372" t="s">
        <v>98</v>
      </c>
      <c r="K6" s="372" t="s">
        <v>98</v>
      </c>
      <c r="L6" s="372" t="s">
        <v>98</v>
      </c>
      <c r="M6" s="372" t="s">
        <v>98</v>
      </c>
      <c r="N6" s="372" t="s">
        <v>269</v>
      </c>
      <c r="O6" s="372" t="s">
        <v>269</v>
      </c>
      <c r="P6" s="372" t="s">
        <v>269</v>
      </c>
    </row>
    <row r="7" spans="1:16" ht="18.75" thickBot="1" x14ac:dyDescent="0.3">
      <c r="D7" s="857" t="s">
        <v>15</v>
      </c>
      <c r="E7" s="857"/>
      <c r="F7" s="857"/>
      <c r="G7" s="857"/>
      <c r="H7" s="857"/>
      <c r="I7" s="857"/>
      <c r="J7" s="857"/>
      <c r="K7" s="857"/>
      <c r="L7" s="857"/>
      <c r="M7" s="857"/>
      <c r="N7" s="952"/>
      <c r="O7" s="952"/>
      <c r="P7" s="952"/>
    </row>
    <row r="8" spans="1:16" ht="18.75" thickBot="1" x14ac:dyDescent="0.3">
      <c r="A8" s="361" t="s">
        <v>43</v>
      </c>
      <c r="D8" s="238" t="s">
        <v>162</v>
      </c>
      <c r="E8" s="421">
        <f>'2014-25 ES CT E Table D-$'!E8/('2014-24 ESCTETable D3-lftimekWh'!E8*1000)</f>
        <v>1.6322705955106782E-2</v>
      </c>
      <c r="F8" s="421">
        <f>'2014-25 ES CT E Table D-$'!F8/('2014-24 ESCTETable D3-lftimekWh'!F8*1000)</f>
        <v>2.0438587123287298E-2</v>
      </c>
      <c r="G8" s="421">
        <f>'2014-25 ES CT E Table D-$'!G8/('2014-24 ESCTETable D3-lftimekWh'!G8*1000)</f>
        <v>2.0938214668752994E-2</v>
      </c>
      <c r="H8" s="421">
        <f>'2014-25 ES CT E Table D-$'!H8/('2014-24 ESCTETable D3-lftimekWh'!H8*1000)</f>
        <v>1.5906817569501106E-2</v>
      </c>
      <c r="I8" s="421">
        <f>'2014-25 ES CT E Table D-$'!I8/('2014-24 ESCTETable D3-lftimekWh'!I8*1000)</f>
        <v>1.6614464248870229E-2</v>
      </c>
      <c r="J8" s="421">
        <f>'2014-25 ES CT E Table D-$'!J8/('2014-24 ESCTETable D3-lftimekWh'!J8*1000)</f>
        <v>4.4106105828976137E-2</v>
      </c>
      <c r="K8" s="421">
        <f>'2014-25 ES CT E Table D-$'!K8/('2014-24 ESCTETable D3-lftimekWh'!K8*1000)</f>
        <v>5.0253668543116033E-2</v>
      </c>
      <c r="L8" s="421">
        <f>'2014-25 ES CT E Table D-$'!L8/('2014-24 ESCTETable D3-lftimekWh'!L8*1000)</f>
        <v>6.2903196343566573E-2</v>
      </c>
      <c r="M8" s="421">
        <f>'2014-25 ES CT E Table D-$'!M8/('2014-24 ESCTETable D3-lftimekWh'!M8*1000)</f>
        <v>5.8224534773954596E-2</v>
      </c>
      <c r="N8" s="421">
        <f>'2014-25 ES CT E Table D-$'!N8/('2014-24 ESCTETable D3-lftimekWh'!N8*1000)</f>
        <v>7.1993463372137995E-2</v>
      </c>
      <c r="O8" s="421">
        <f>'2014-25 ES CT E Table D-$'!O8/('2014-24 ESCTETable D3-lftimekWh'!O8*1000)</f>
        <v>5.8911991346631991E-2</v>
      </c>
      <c r="P8" s="421">
        <f>'2014-25 ES CT E Table D-$'!P8/('2014-24 ESCTETable D3-lftimekWh'!P8*1000)</f>
        <v>6.0878598714308819E-2</v>
      </c>
    </row>
    <row r="9" spans="1:16" ht="18.75" thickBot="1" x14ac:dyDescent="0.3">
      <c r="A9" s="361" t="s">
        <v>43</v>
      </c>
      <c r="D9" s="243" t="s">
        <v>166</v>
      </c>
      <c r="E9" s="421">
        <f>'2014-25 ES CT E Table D-$'!E9/('2014-24 ESCTETable D3-lftimekWh'!E9*1000)</f>
        <v>4.599748996587797E-2</v>
      </c>
      <c r="F9" s="421">
        <f>'2014-25 ES CT E Table D-$'!F9/('2014-24 ESCTETable D3-lftimekWh'!F9*1000)</f>
        <v>3.6550602872526532E-2</v>
      </c>
      <c r="G9" s="421">
        <f>'2014-25 ES CT E Table D-$'!G9/('2014-24 ESCTETable D3-lftimekWh'!G9*1000)</f>
        <v>4.4017712005188302E-2</v>
      </c>
      <c r="H9" s="421">
        <f>'2014-25 ES CT E Table D-$'!H9/('2014-24 ESCTETable D3-lftimekWh'!H9*1000)</f>
        <v>5.5856669877409525E-2</v>
      </c>
      <c r="I9" s="421">
        <f>'2014-25 ES CT E Table D-$'!I9/('2014-24 ESCTETable D3-lftimekWh'!I9*1000)</f>
        <v>5.6769292632523602E-2</v>
      </c>
      <c r="J9" s="421">
        <f>'2014-25 ES CT E Table D-$'!J9/('2014-24 ESCTETable D3-lftimekWh'!J9*1000)</f>
        <v>6.1504994135477664E-2</v>
      </c>
      <c r="K9" s="421">
        <f>'2014-25 ES CT E Table D-$'!K9/('2014-24 ESCTETable D3-lftimekWh'!K9*1000)</f>
        <v>3.4103186675911633E-2</v>
      </c>
      <c r="L9" s="421">
        <f>'2014-25 ES CT E Table D-$'!L9/('2014-24 ESCTETable D3-lftimekWh'!L9*1000)</f>
        <v>2.8491354015390255E-2</v>
      </c>
      <c r="M9" s="421">
        <f>'2014-25 ES CT E Table D-$'!M9/('2014-24 ESCTETable D3-lftimekWh'!M9*1000)</f>
        <v>4.5640246994046063E-2</v>
      </c>
      <c r="N9" s="421">
        <f>'2014-25 ES CT E Table D-$'!N9/('2014-24 ESCTETable D3-lftimekWh'!N9*1000)</f>
        <v>6.1898060075802876E-2</v>
      </c>
      <c r="O9" s="421">
        <f>'2014-25 ES CT E Table D-$'!O9/('2014-24 ESCTETable D3-lftimekWh'!O9*1000)</f>
        <v>6.4793963680884581E-2</v>
      </c>
      <c r="P9" s="421">
        <f>'2014-25 ES CT E Table D-$'!P9/('2014-24 ESCTETable D3-lftimekWh'!P9*1000)</f>
        <v>6.7359974835468614E-2</v>
      </c>
    </row>
    <row r="10" spans="1:16" ht="36.75" thickBot="1" x14ac:dyDescent="0.3">
      <c r="A10" s="361" t="s">
        <v>43</v>
      </c>
      <c r="D10" s="279" t="s">
        <v>419</v>
      </c>
      <c r="E10" s="421">
        <f>'2014-25 ES CT E Table D-$'!E10/('2014-24 ESCTETable D3-lftimekWh'!E10*1000)</f>
        <v>9.3450188480792368E-2</v>
      </c>
      <c r="F10" s="421">
        <f>'2014-25 ES CT E Table D-$'!F10/('2014-24 ESCTETable D3-lftimekWh'!F10*1000)</f>
        <v>7.8435992033980301E-2</v>
      </c>
      <c r="G10" s="421">
        <f>'2014-25 ES CT E Table D-$'!G10/('2014-24 ESCTETable D3-lftimekWh'!G10*1000)</f>
        <v>7.1677362455322885E-2</v>
      </c>
      <c r="H10" s="421">
        <f>'2014-25 ES CT E Table D-$'!H10/('2014-24 ESCTETable D3-lftimekWh'!H10*1000)</f>
        <v>8.4698649026963363E-2</v>
      </c>
      <c r="I10" s="421">
        <f>'2014-25 ES CT E Table D-$'!I10/('2014-24 ESCTETable D3-lftimekWh'!I10*1000)</f>
        <v>7.8283845614242883E-2</v>
      </c>
      <c r="J10" s="421">
        <f>'2014-25 ES CT E Table D-$'!J10/('2014-24 ESCTETable D3-lftimekWh'!J10*1000)</f>
        <v>7.9069712614647944E-2</v>
      </c>
      <c r="K10" s="421">
        <f>'2014-25 ES CT E Table D-$'!K10/('2014-24 ESCTETable D3-lftimekWh'!K10*1000)</f>
        <v>8.0061546233773373E-2</v>
      </c>
      <c r="L10" s="421">
        <f>'2014-25 ES CT E Table D-$'!L10/('2014-24 ESCTETable D3-lftimekWh'!L10*1000)</f>
        <v>0.18005566565927825</v>
      </c>
      <c r="M10" s="421">
        <f>'2014-25 ES CT E Table D-$'!M10/('2014-24 ESCTETable D3-lftimekWh'!M10*1000)</f>
        <v>0.23744779967676491</v>
      </c>
      <c r="N10" s="421">
        <f>'2014-25 ES CT E Table D-$'!N10/('2014-24 ESCTETable D3-lftimekWh'!N10*1000)</f>
        <v>0.27114863166532055</v>
      </c>
      <c r="O10" s="421">
        <f>'2014-25 ES CT E Table D-$'!O10/('2014-24 ESCTETable D3-lftimekWh'!O10*1000)</f>
        <v>0.37820344817880291</v>
      </c>
      <c r="P10" s="421">
        <f>'2014-25 ES CT E Table D-$'!P10/('2014-24 ESCTETable D3-lftimekWh'!P10*1000)</f>
        <v>0.37763865043418954</v>
      </c>
    </row>
    <row r="11" spans="1:16" ht="18.75" thickBot="1" x14ac:dyDescent="0.3">
      <c r="A11" s="361"/>
      <c r="D11" s="279" t="s">
        <v>520</v>
      </c>
      <c r="E11" s="421">
        <v>0</v>
      </c>
      <c r="F11" s="421">
        <v>0</v>
      </c>
      <c r="G11" s="421">
        <v>0</v>
      </c>
      <c r="H11" s="421">
        <f>'2014-25 ES CT E Table D-$'!H11/('2014-24 ESCTETable D3-lftimekWh'!H11*1000)</f>
        <v>3.3178687542763138E-2</v>
      </c>
      <c r="I11" s="421">
        <f>'2014-25 ES CT E Table D-$'!I11/('2014-24 ESCTETable D3-lftimekWh'!I11*1000)</f>
        <v>1.9803430668894569E-2</v>
      </c>
      <c r="J11" s="421">
        <f>'2014-25 ES CT E Table D-$'!J11/('2014-24 ESCTETable D3-lftimekWh'!J11*1000)</f>
        <v>3.414511157469434E-2</v>
      </c>
      <c r="K11" s="421">
        <f>'2014-25 ES CT E Table D-$'!K11/('2014-24 ESCTETable D3-lftimekWh'!K11*1000)</f>
        <v>8.8046660693907E-2</v>
      </c>
      <c r="L11" s="421">
        <f>'2014-25 ES CT E Table D-$'!L11/('2014-24 ESCTETable D3-lftimekWh'!L11*1000)</f>
        <v>0.12557163937355506</v>
      </c>
      <c r="M11" s="421">
        <f>'2014-25 ES CT E Table D-$'!M11/('2014-24 ESCTETable D3-lftimekWh'!M11*1000)</f>
        <v>0.12253631295491213</v>
      </c>
      <c r="N11" s="421">
        <f>'2014-25 ES CT E Table D-$'!N11/('2014-24 ESCTETable D3-lftimekWh'!N11*1000)</f>
        <v>0.13481928630050097</v>
      </c>
      <c r="O11" s="421">
        <f>'2014-25 ES CT E Table D-$'!O11/('2014-24 ESCTETable D3-lftimekWh'!O11*1000)</f>
        <v>-4.5916984069306244</v>
      </c>
      <c r="P11" s="421">
        <f>'2014-25 ES CT E Table D-$'!P11/('2014-24 ESCTETable D3-lftimekWh'!P11*1000)</f>
        <v>-0.27834299771429721</v>
      </c>
    </row>
    <row r="12" spans="1:16" ht="18.75" thickBot="1" x14ac:dyDescent="0.3">
      <c r="A12" s="361" t="s">
        <v>43</v>
      </c>
      <c r="D12" s="238" t="s">
        <v>130</v>
      </c>
      <c r="E12" s="421">
        <f>'2014-25 ES CT E Table D-$'!E12/('2014-24 ESCTETable D3-lftimekWh'!E12*1000)</f>
        <v>8.4728813813211207E-2</v>
      </c>
      <c r="F12" s="421">
        <f>'2014-25 ES CT E Table D-$'!F12/('2014-24 ESCTETable D3-lftimekWh'!F12*1000)</f>
        <v>0.11615427482140681</v>
      </c>
      <c r="G12" s="421">
        <f>'2014-25 ES CT E Table D-$'!G12/('2014-24 ESCTETable D3-lftimekWh'!G12*1000)</f>
        <v>0.10426816124605276</v>
      </c>
      <c r="H12" s="421">
        <f>'2014-25 ES CT E Table D-$'!H12/('2014-24 ESCTETable D3-lftimekWh'!H12*1000)</f>
        <v>0.11101203472292513</v>
      </c>
      <c r="I12" s="421">
        <f>'2014-25 ES CT E Table D-$'!I12/('2014-24 ESCTETable D3-lftimekWh'!I12*1000)</f>
        <v>7.9862157220138702E-2</v>
      </c>
      <c r="J12" s="421">
        <f>'2014-25 ES CT E Table D-$'!J12/('2014-24 ESCTETable D3-lftimekWh'!J12*1000)</f>
        <v>7.7668977672456077E-2</v>
      </c>
      <c r="K12" s="421">
        <f>'2014-25 ES CT E Table D-$'!K12/('2014-24 ESCTETable D3-lftimekWh'!K12*1000)</f>
        <v>0.13591148268755349</v>
      </c>
      <c r="L12" s="421">
        <f>'2014-25 ES CT E Table D-$'!L12/('2014-24 ESCTETable D3-lftimekWh'!L12*1000)</f>
        <v>0.17928282865876269</v>
      </c>
      <c r="M12" s="421">
        <f>'2014-25 ES CT E Table D-$'!M12/('2014-24 ESCTETable D3-lftimekWh'!M12*1000)</f>
        <v>0.24424271568435041</v>
      </c>
      <c r="N12" s="421">
        <f>'2014-25 ES CT E Table D-$'!N12/('2014-24 ESCTETable D3-lftimekWh'!N12*1000)</f>
        <v>0.48389890589730256</v>
      </c>
      <c r="O12" s="421">
        <f>'2014-25 ES CT E Table D-$'!O12/('2014-24 ESCTETable D3-lftimekWh'!O12*1000)</f>
        <v>0.53854944390580206</v>
      </c>
      <c r="P12" s="421">
        <f>'2014-25 ES CT E Table D-$'!P12/('2014-24 ESCTETable D3-lftimekWh'!P12*1000)</f>
        <v>0.55383174382373324</v>
      </c>
    </row>
    <row r="13" spans="1:16" ht="18.75" thickBot="1" x14ac:dyDescent="0.3">
      <c r="A13" s="361"/>
      <c r="D13" s="238" t="s">
        <v>145</v>
      </c>
      <c r="E13" s="421">
        <v>0</v>
      </c>
      <c r="F13" s="421">
        <f>'2014-25 ES CT E Table D-$'!F13/('2014-24 ESCTETable D3-lftimekWh'!F13*1000)</f>
        <v>4.6731699180763163E-2</v>
      </c>
      <c r="G13" s="421">
        <f>'2014-25 ES CT E Table D-$'!G13/('2014-24 ESCTETable D3-lftimekWh'!G13*1000)</f>
        <v>2.4677657455818573E-2</v>
      </c>
      <c r="H13" s="421">
        <f>'2014-25 ES CT E Table D-$'!H13/('2014-24 ESCTETable D3-lftimekWh'!H13*1000)</f>
        <v>6.4483944340516408E-2</v>
      </c>
      <c r="I13" s="421">
        <f>'2014-25 ES CT E Table D-$'!I13/('2014-24 ESCTETable D3-lftimekWh'!I13*1000)</f>
        <v>6.5477313973209439E-2</v>
      </c>
      <c r="J13" s="421">
        <f>'2014-25 ES CT E Table D-$'!J13/('2014-24 ESCTETable D3-lftimekWh'!J13*1000)</f>
        <v>9.2713286220326742E-3</v>
      </c>
      <c r="K13" s="421">
        <f>'2014-25 ES CT E Table D-$'!K13/('2014-24 ESCTETable D3-lftimekWh'!K13*1000)</f>
        <v>3.198889818970789E-2</v>
      </c>
      <c r="L13" s="421">
        <v>0</v>
      </c>
      <c r="M13" s="421">
        <v>0</v>
      </c>
      <c r="N13" s="421">
        <f>'2014-25 ES CT E Table D-$'!N13/('2014-24 ESCTETable D3-lftimekWh'!N13*1000)</f>
        <v>0.12587412587412589</v>
      </c>
      <c r="O13" s="421">
        <f>'2014-25 ES CT E Table D-$'!O13/('2014-24 ESCTETable D3-lftimekWh'!O13*1000)</f>
        <v>6.2937062937062943E-2</v>
      </c>
      <c r="P13" s="421">
        <f>'2014-25 ES CT E Table D-$'!P13/('2014-24 ESCTETable D3-lftimekWh'!P13*1000)</f>
        <v>6.2937062937062943E-2</v>
      </c>
    </row>
    <row r="14" spans="1:16" ht="18.75" thickBot="1" x14ac:dyDescent="0.3">
      <c r="D14" s="245" t="s">
        <v>291</v>
      </c>
      <c r="E14" s="420">
        <f>'2014-25 ES CT E Table D-$'!E14/('2014-24 ESCTETable D3-lftimekWh'!E14*1000)</f>
        <v>4.6972017977827706E-2</v>
      </c>
      <c r="F14" s="420">
        <f>'2014-25 ES CT E Table D-$'!F14/('2014-24 ESCTETable D3-lftimekWh'!F14*1000)</f>
        <v>5.0501511305677649E-2</v>
      </c>
      <c r="G14" s="420">
        <f>'2014-25 ES CT E Table D-$'!G14/('2014-24 ESCTETable D3-lftimekWh'!G14*1000)</f>
        <v>4.4386319077006603E-2</v>
      </c>
      <c r="H14" s="420">
        <f>'2014-25 ES CT E Table D-$'!H14/('2014-24 ESCTETable D3-lftimekWh'!H14*1000)</f>
        <v>4.042685098007015E-2</v>
      </c>
      <c r="I14" s="420">
        <f>'2014-25 ES CT E Table D-$'!I14/('2014-24 ESCTETable D3-lftimekWh'!I14*1000)</f>
        <v>3.9499341329965007E-2</v>
      </c>
      <c r="J14" s="420">
        <f>'2014-25 ES CT E Table D-$'!J14/('2014-24 ESCTETable D3-lftimekWh'!J14*1000)</f>
        <v>5.513335030470138E-2</v>
      </c>
      <c r="K14" s="420">
        <f>'2014-25 ES CT E Table D-$'!K14/('2014-24 ESCTETable D3-lftimekWh'!K14*1000)</f>
        <v>7.5562259357336417E-2</v>
      </c>
      <c r="L14" s="420">
        <f>'2014-25 ES CT E Table D-$'!L14/('2014-24 ESCTETable D3-lftimekWh'!L14*1000)</f>
        <v>0.10701529157454243</v>
      </c>
      <c r="M14" s="420">
        <f>'2014-25 ES CT E Table D-$'!M14/('2014-24 ESCTETable D3-lftimekWh'!M14*1000)</f>
        <v>0.14448195456759708</v>
      </c>
      <c r="N14" s="420">
        <f>'2014-25 ES CT E Table D-$'!N14/('2014-24 ESCTETable D3-lftimekWh'!N14*1000)</f>
        <v>0.1831843532492736</v>
      </c>
      <c r="O14" s="420">
        <f>'2014-25 ES CT E Table D-$'!O14/('2014-24 ESCTETable D3-lftimekWh'!O14*1000)</f>
        <v>0.29265355521386049</v>
      </c>
      <c r="P14" s="420">
        <f>'2014-25 ES CT E Table D-$'!P14/('2014-24 ESCTETable D3-lftimekWh'!P14*1000)</f>
        <v>0.39977866421601427</v>
      </c>
    </row>
    <row r="15" spans="1:16" ht="18.75" thickBot="1" x14ac:dyDescent="0.3">
      <c r="D15" s="956" t="s">
        <v>16</v>
      </c>
      <c r="E15" s="956"/>
      <c r="F15" s="956"/>
      <c r="G15" s="956"/>
      <c r="H15" s="956"/>
      <c r="I15" s="956"/>
      <c r="J15" s="956"/>
      <c r="K15" s="956"/>
      <c r="L15" s="956"/>
      <c r="M15" s="956"/>
      <c r="N15" s="952"/>
      <c r="O15" s="952"/>
      <c r="P15" s="952"/>
    </row>
    <row r="16" spans="1:16" ht="18.75" thickBot="1" x14ac:dyDescent="0.3">
      <c r="A16" s="363" t="s">
        <v>44</v>
      </c>
      <c r="D16" s="238" t="s">
        <v>159</v>
      </c>
      <c r="E16" s="421">
        <f>'2014-25 ES CT E Table D-$'!E16/('2014-24 ESCTETable D3-lftimekWh'!E16*1000)</f>
        <v>1.6666801267696405E-2</v>
      </c>
      <c r="F16" s="421">
        <f>'2014-25 ES CT E Table D-$'!F16/('2014-24 ESCTETable D3-lftimekWh'!F16*1000)</f>
        <v>2.0791055118615603E-2</v>
      </c>
      <c r="G16" s="421">
        <f>'2014-25 ES CT E Table D-$'!G16/('2014-24 ESCTETable D3-lftimekWh'!G16*1000)</f>
        <v>2.1168976590601057E-2</v>
      </c>
      <c r="H16" s="421">
        <f>'2014-25 ES CT E Table D-$'!H16/('2014-24 ESCTETable D3-lftimekWh'!H16*1000)</f>
        <v>2.3603850593683782E-2</v>
      </c>
      <c r="I16" s="421">
        <f>'2014-25 ES CT E Table D-$'!I16/('2014-24 ESCTETable D3-lftimekWh'!I16*1000)</f>
        <v>1.9287690511647648E-2</v>
      </c>
      <c r="J16" s="421">
        <f>'2014-25 ES CT E Table D-$'!J16/('2014-24 ESCTETable D3-lftimekWh'!J16*1000)</f>
        <v>2.4271447078747066E-2</v>
      </c>
      <c r="K16" s="421">
        <f>'2014-25 ES CT E Table D-$'!K16/('2014-24 ESCTETable D3-lftimekWh'!K16*1000)</f>
        <v>2.4300698396813748E-2</v>
      </c>
      <c r="L16" s="421">
        <f>'2014-25 ES CT E Table D-$'!L16/('2014-24 ESCTETable D3-lftimekWh'!L16*1000)</f>
        <v>4.3351348773758382E-2</v>
      </c>
      <c r="M16" s="421">
        <f>'2014-25 ES CT E Table D-$'!M16/('2014-24 ESCTETable D3-lftimekWh'!M16*1000)</f>
        <v>2.8015530594434162E-2</v>
      </c>
      <c r="N16" s="421">
        <f>'2014-25 ES CT E Table D-$'!N16/('2014-24 ESCTETable D3-lftimekWh'!N16*1000)</f>
        <v>4.0131941212159003E-2</v>
      </c>
      <c r="O16" s="421">
        <f>'2014-25 ES CT E Table D-$'!O16/('2014-24 ESCTETable D3-lftimekWh'!O16*1000)</f>
        <v>4.8069124825465298E-2</v>
      </c>
      <c r="P16" s="421">
        <f>'2014-25 ES CT E Table D-$'!P16/('2014-24 ESCTETable D3-lftimekWh'!P16*1000)</f>
        <v>4.9258822445839408E-2</v>
      </c>
    </row>
    <row r="17" spans="1:16" ht="18.75" thickBot="1" x14ac:dyDescent="0.3">
      <c r="A17" s="363" t="s">
        <v>44</v>
      </c>
      <c r="D17" s="238" t="s">
        <v>160</v>
      </c>
      <c r="E17" s="421">
        <f>'2014-25 ES CT E Table D-$'!E17/('2014-24 ESCTETable D3-lftimekWh'!E17*1000)</f>
        <v>3.1115474574329723E-2</v>
      </c>
      <c r="F17" s="421">
        <f>'2014-25 ES CT E Table D-$'!F17/('2014-24 ESCTETable D3-lftimekWh'!F17*1000)</f>
        <v>3.0640397656990642E-2</v>
      </c>
      <c r="G17" s="421">
        <f>'2014-25 ES CT E Table D-$'!G17/('2014-24 ESCTETable D3-lftimekWh'!G17*1000)</f>
        <v>2.9187944279542716E-2</v>
      </c>
      <c r="H17" s="421">
        <f>'2014-25 ES CT E Table D-$'!H17/('2014-24 ESCTETable D3-lftimekWh'!H17*1000)</f>
        <v>2.9655580319860934E-2</v>
      </c>
      <c r="I17" s="421">
        <f>'2014-25 ES CT E Table D-$'!I17/('2014-24 ESCTETable D3-lftimekWh'!I17*1000)</f>
        <v>2.5212855470759275E-2</v>
      </c>
      <c r="J17" s="421">
        <f>'2014-25 ES CT E Table D-$'!J17/('2014-24 ESCTETable D3-lftimekWh'!J17*1000)</f>
        <v>2.6327184620070606E-2</v>
      </c>
      <c r="K17" s="421">
        <f>'2014-25 ES CT E Table D-$'!K17/('2014-24 ESCTETable D3-lftimekWh'!K17*1000)</f>
        <v>2.6739046645091063E-2</v>
      </c>
      <c r="L17" s="421">
        <f>'2014-25 ES CT E Table D-$'!L17/('2014-24 ESCTETable D3-lftimekWh'!L17*1000)</f>
        <v>4.0138729668569524E-2</v>
      </c>
      <c r="M17" s="421">
        <f>'2014-25 ES CT E Table D-$'!M17/('2014-24 ESCTETable D3-lftimekWh'!M17*1000)</f>
        <v>3.3365557075838083E-2</v>
      </c>
      <c r="N17" s="421">
        <f>'2014-25 ES CT E Table D-$'!N17/('2014-24 ESCTETable D3-lftimekWh'!N17*1000)</f>
        <v>7.961795183278364E-2</v>
      </c>
      <c r="O17" s="421">
        <f>'2014-25 ES CT E Table D-$'!O17/('2014-24 ESCTETable D3-lftimekWh'!O17*1000)</f>
        <v>8.2218575760138884E-2</v>
      </c>
      <c r="P17" s="421">
        <f>'2014-25 ES CT E Table D-$'!P17/('2014-24 ESCTETable D3-lftimekWh'!P17*1000)</f>
        <v>8.1177162147862039E-2</v>
      </c>
    </row>
    <row r="18" spans="1:16" ht="36.75" thickBot="1" x14ac:dyDescent="0.3">
      <c r="A18" s="363" t="s">
        <v>44</v>
      </c>
      <c r="D18" s="279" t="s">
        <v>292</v>
      </c>
      <c r="E18" s="421">
        <f>'2014-25 ES CT E Table D-$'!E18/('2014-24 ESCTETable D3-lftimekWh'!E18*1000)</f>
        <v>4.6012447415223159E-2</v>
      </c>
      <c r="F18" s="421">
        <f>'2014-25 ES CT E Table D-$'!F18/('2014-24 ESCTETable D3-lftimekWh'!F18*1000)</f>
        <v>3.1539974043545901E-2</v>
      </c>
      <c r="G18" s="421">
        <f>'2014-25 ES CT E Table D-$'!G18/('2014-24 ESCTETable D3-lftimekWh'!G18*1000)</f>
        <v>5.2865987739970699E-2</v>
      </c>
      <c r="H18" s="421">
        <f>'2014-25 ES CT E Table D-$'!H18/('2014-24 ESCTETable D3-lftimekWh'!H18*1000)</f>
        <v>4.84252141338068E-2</v>
      </c>
      <c r="I18" s="421">
        <f>'2014-25 ES CT E Table D-$'!I18/('2014-24 ESCTETable D3-lftimekWh'!I18*1000)</f>
        <v>4.9345573108941145E-2</v>
      </c>
      <c r="J18" s="421">
        <f>'2014-25 ES CT E Table D-$'!J18/('2014-24 ESCTETable D3-lftimekWh'!J18*1000)</f>
        <v>6.6954770007901981E-2</v>
      </c>
      <c r="K18" s="421">
        <f>'2014-25 ES CT E Table D-$'!K18/('2014-24 ESCTETable D3-lftimekWh'!K18*1000)</f>
        <v>5.0049913019646494E-2</v>
      </c>
      <c r="L18" s="421">
        <f>'2014-25 ES CT E Table D-$'!L18/('2014-24 ESCTETable D3-lftimekWh'!L18*1000)</f>
        <v>5.6595331824529034E-2</v>
      </c>
      <c r="M18" s="421">
        <f>'2014-25 ES CT E Table D-$'!M18/('2014-24 ESCTETable D3-lftimekWh'!M18*1000)</f>
        <v>4.0062880052191843E-2</v>
      </c>
      <c r="N18" s="421">
        <f>'2014-25 ES CT E Table D-$'!N18/('2014-24 ESCTETable D3-lftimekWh'!N18*1000)</f>
        <v>4.5913752521718108E-2</v>
      </c>
      <c r="O18" s="421">
        <f>'2014-25 ES CT E Table D-$'!O18/('2014-24 ESCTETable D3-lftimekWh'!O18*1000)</f>
        <v>4.7429976231592411E-2</v>
      </c>
      <c r="P18" s="421">
        <f>'2014-25 ES CT E Table D-$'!P18/('2014-24 ESCTETable D3-lftimekWh'!P18*1000)</f>
        <v>4.4950021139736854E-2</v>
      </c>
    </row>
    <row r="19" spans="1:16" ht="18.75" thickBot="1" x14ac:dyDescent="0.3">
      <c r="A19" s="363" t="s">
        <v>44</v>
      </c>
      <c r="D19" s="238" t="s">
        <v>117</v>
      </c>
      <c r="E19" s="421">
        <f>'2014-25 ES CT E Table D-$'!E19/('2014-24 ESCTETable D3-lftimekWh'!E19*1000)</f>
        <v>4.1013546106078262E-2</v>
      </c>
      <c r="F19" s="421">
        <f>'2014-25 ES CT E Table D-$'!F19/('2014-24 ESCTETable D3-lftimekWh'!F19*1000)</f>
        <v>4.0375483840944582E-2</v>
      </c>
      <c r="G19" s="421">
        <f>'2014-25 ES CT E Table D-$'!G19/('2014-24 ESCTETable D3-lftimekWh'!G19*1000)</f>
        <v>3.8387681486760132E-2</v>
      </c>
      <c r="H19" s="421">
        <f>'2014-25 ES CT E Table D-$'!H19/('2014-24 ESCTETable D3-lftimekWh'!H19*1000)</f>
        <v>4.0642970903604178E-2</v>
      </c>
      <c r="I19" s="421">
        <f>'2014-25 ES CT E Table D-$'!I19/('2014-24 ESCTETable D3-lftimekWh'!I19*1000)</f>
        <v>4.1195082330948984E-2</v>
      </c>
      <c r="J19" s="421">
        <f>'2014-25 ES CT E Table D-$'!J19/('2014-24 ESCTETable D3-lftimekWh'!J19*1000)</f>
        <v>3.4033283467404168E-2</v>
      </c>
      <c r="K19" s="421">
        <f>'2014-25 ES CT E Table D-$'!K19/('2014-24 ESCTETable D3-lftimekWh'!K19*1000)</f>
        <v>2.8710122744838293E-2</v>
      </c>
      <c r="L19" s="421">
        <f>'2014-25 ES CT E Table D-$'!L19/('2014-24 ESCTETable D3-lftimekWh'!L19*1000)</f>
        <v>4.6979135864144018E-2</v>
      </c>
      <c r="M19" s="421">
        <f>'2014-25 ES CT E Table D-$'!M19/('2014-24 ESCTETable D3-lftimekWh'!M19*1000)</f>
        <v>7.4176453930091923E-2</v>
      </c>
      <c r="N19" s="421">
        <f>'2014-25 ES CT E Table D-$'!N19/('2014-24 ESCTETable D3-lftimekWh'!N19*1000)</f>
        <v>7.1313992795463493E-2</v>
      </c>
      <c r="O19" s="421">
        <f>'2014-25 ES CT E Table D-$'!O19/('2014-24 ESCTETable D3-lftimekWh'!O19*1000)</f>
        <v>7.5571791344697062E-2</v>
      </c>
      <c r="P19" s="421">
        <f>'2014-25 ES CT E Table D-$'!P19/('2014-24 ESCTETable D3-lftimekWh'!P19*1000)</f>
        <v>7.857640813238638E-2</v>
      </c>
    </row>
    <row r="20" spans="1:16" ht="18.75" thickBot="1" x14ac:dyDescent="0.3">
      <c r="D20" s="259" t="s">
        <v>296</v>
      </c>
      <c r="E20" s="420">
        <f>'2014-25 ES CT E Table D-$'!E20/('2014-24 ESCTETable D3-lftimekWh'!E20*1000)</f>
        <v>2.8239944384869514E-2</v>
      </c>
      <c r="F20" s="420">
        <f>'2014-25 ES CT E Table D-$'!F20/('2014-24 ESCTETable D3-lftimekWh'!F20*1000)</f>
        <v>2.9394992568776597E-2</v>
      </c>
      <c r="G20" s="420">
        <f>'2014-25 ES CT E Table D-$'!G20/('2014-24 ESCTETable D3-lftimekWh'!G20*1000)</f>
        <v>2.9472062384994197E-2</v>
      </c>
      <c r="H20" s="420">
        <f>'2014-25 ES CT E Table D-$'!H20/('2014-24 ESCTETable D3-lftimekWh'!H20*1000)</f>
        <v>3.0749554506810779E-2</v>
      </c>
      <c r="I20" s="420">
        <f>'2014-25 ES CT E Table D-$'!I20/('2014-24 ESCTETable D3-lftimekWh'!I20*1000)</f>
        <v>2.8028338510640398E-2</v>
      </c>
      <c r="J20" s="420">
        <f>'2014-25 ES CT E Table D-$'!J20/('2014-24 ESCTETable D3-lftimekWh'!J20*1000)</f>
        <v>2.8495656763811172E-2</v>
      </c>
      <c r="K20" s="420">
        <f>'2014-25 ES CT E Table D-$'!K20/('2014-24 ESCTETable D3-lftimekWh'!K20*1000)</f>
        <v>2.6918136413081155E-2</v>
      </c>
      <c r="L20" s="420">
        <f>'2014-25 ES CT E Table D-$'!L20/('2014-24 ESCTETable D3-lftimekWh'!L20*1000)</f>
        <v>4.1429085976511744E-2</v>
      </c>
      <c r="M20" s="420">
        <f>'2014-25 ES CT E Table D-$'!M20/('2014-24 ESCTETable D3-lftimekWh'!M20*1000)</f>
        <v>3.6283066874639135E-2</v>
      </c>
      <c r="N20" s="420">
        <f>'2014-25 ES CT E Table D-$'!N20/('2014-24 ESCTETable D3-lftimekWh'!N20*1000)</f>
        <v>6.3465775747426456E-2</v>
      </c>
      <c r="O20" s="420">
        <f>'2014-25 ES CT E Table D-$'!O20/('2014-24 ESCTETable D3-lftimekWh'!O20*1000)</f>
        <v>6.8941932109156973E-2</v>
      </c>
      <c r="P20" s="420">
        <f>'2014-25 ES CT E Table D-$'!P20/('2014-24 ESCTETable D3-lftimekWh'!P20*1000)</f>
        <v>6.9329562895467836E-2</v>
      </c>
    </row>
    <row r="21" spans="1:16" ht="18.75" hidden="1" thickBot="1" x14ac:dyDescent="0.3">
      <c r="D21" s="386" t="s">
        <v>262</v>
      </c>
      <c r="E21" s="422"/>
      <c r="F21" s="422"/>
      <c r="G21" s="422"/>
      <c r="H21" s="422"/>
      <c r="I21" s="422"/>
      <c r="J21" s="422"/>
      <c r="K21" s="422"/>
      <c r="L21" s="422"/>
      <c r="M21" s="422"/>
      <c r="N21" s="422"/>
      <c r="O21" s="422"/>
      <c r="P21" s="422"/>
    </row>
    <row r="22" spans="1:16" ht="17.25" hidden="1" customHeight="1" thickBot="1" x14ac:dyDescent="0.3">
      <c r="A22" s="366" t="s">
        <v>196</v>
      </c>
      <c r="B22" s="308"/>
      <c r="C22" s="308"/>
      <c r="D22" s="388" t="s">
        <v>184</v>
      </c>
      <c r="E22" s="422">
        <v>0</v>
      </c>
      <c r="F22" s="422">
        <v>0</v>
      </c>
      <c r="G22" s="422">
        <v>0</v>
      </c>
      <c r="H22" s="422">
        <v>0</v>
      </c>
      <c r="I22" s="422">
        <v>0</v>
      </c>
      <c r="J22" s="422">
        <v>0</v>
      </c>
      <c r="K22" s="422">
        <v>0</v>
      </c>
      <c r="L22" s="422">
        <v>0</v>
      </c>
      <c r="M22" s="422">
        <v>0</v>
      </c>
      <c r="N22" s="422">
        <v>0</v>
      </c>
      <c r="O22" s="422">
        <v>0</v>
      </c>
      <c r="P22" s="422">
        <v>0</v>
      </c>
    </row>
    <row r="23" spans="1:16" ht="18.75" hidden="1" thickBot="1" x14ac:dyDescent="0.3">
      <c r="A23" s="366" t="s">
        <v>18</v>
      </c>
      <c r="B23" s="308"/>
      <c r="C23" s="308"/>
      <c r="D23" s="388" t="s">
        <v>141</v>
      </c>
      <c r="E23" s="423">
        <v>0</v>
      </c>
      <c r="F23" s="423">
        <v>0</v>
      </c>
      <c r="G23" s="423">
        <v>0</v>
      </c>
      <c r="H23" s="423">
        <v>0</v>
      </c>
      <c r="I23" s="423">
        <v>0</v>
      </c>
      <c r="J23" s="423">
        <v>0</v>
      </c>
      <c r="K23" s="423">
        <v>0</v>
      </c>
      <c r="L23" s="423">
        <v>0</v>
      </c>
      <c r="M23" s="423">
        <v>0</v>
      </c>
      <c r="N23" s="423">
        <v>0</v>
      </c>
      <c r="O23" s="423">
        <v>0</v>
      </c>
      <c r="P23" s="423">
        <v>0</v>
      </c>
    </row>
    <row r="24" spans="1:16" ht="17.25" hidden="1" customHeight="1" thickBot="1" x14ac:dyDescent="0.3">
      <c r="A24" s="366" t="s">
        <v>18</v>
      </c>
      <c r="B24" s="308"/>
      <c r="C24" s="308"/>
      <c r="D24" s="388" t="s">
        <v>185</v>
      </c>
      <c r="E24" s="422">
        <v>0</v>
      </c>
      <c r="F24" s="422">
        <v>0</v>
      </c>
      <c r="G24" s="422">
        <v>0</v>
      </c>
      <c r="H24" s="422">
        <v>0</v>
      </c>
      <c r="I24" s="422">
        <v>0</v>
      </c>
      <c r="J24" s="422">
        <v>0</v>
      </c>
      <c r="K24" s="422">
        <v>0</v>
      </c>
      <c r="L24" s="422">
        <v>0</v>
      </c>
      <c r="M24" s="422">
        <v>0</v>
      </c>
      <c r="N24" s="422">
        <v>0</v>
      </c>
      <c r="O24" s="422">
        <v>0</v>
      </c>
      <c r="P24" s="422">
        <v>0</v>
      </c>
    </row>
    <row r="25" spans="1:16" ht="17.25" hidden="1" customHeight="1" thickBot="1" x14ac:dyDescent="0.3">
      <c r="A25" s="366" t="s">
        <v>196</v>
      </c>
      <c r="B25" s="308"/>
      <c r="C25" s="308"/>
      <c r="D25" s="388" t="s">
        <v>188</v>
      </c>
      <c r="E25" s="422">
        <v>0</v>
      </c>
      <c r="F25" s="422">
        <v>0</v>
      </c>
      <c r="G25" s="422">
        <v>0</v>
      </c>
      <c r="H25" s="422">
        <v>0</v>
      </c>
      <c r="I25" s="422">
        <v>0</v>
      </c>
      <c r="J25" s="422">
        <v>0</v>
      </c>
      <c r="K25" s="422">
        <v>0</v>
      </c>
      <c r="L25" s="422">
        <v>0</v>
      </c>
      <c r="M25" s="422">
        <v>0</v>
      </c>
      <c r="N25" s="422">
        <v>0</v>
      </c>
      <c r="O25" s="422">
        <v>0</v>
      </c>
      <c r="P25" s="422">
        <v>0</v>
      </c>
    </row>
    <row r="26" spans="1:16" ht="18.75" hidden="1" thickBot="1" x14ac:dyDescent="0.3">
      <c r="A26" s="366" t="s">
        <v>18</v>
      </c>
      <c r="D26" s="388" t="s">
        <v>95</v>
      </c>
      <c r="E26" s="423">
        <v>0</v>
      </c>
      <c r="F26" s="423">
        <v>0</v>
      </c>
      <c r="G26" s="423">
        <v>0</v>
      </c>
      <c r="H26" s="423">
        <v>0</v>
      </c>
      <c r="I26" s="423">
        <v>0</v>
      </c>
      <c r="J26" s="423">
        <v>0</v>
      </c>
      <c r="K26" s="423">
        <v>0</v>
      </c>
      <c r="L26" s="423">
        <v>0</v>
      </c>
      <c r="M26" s="423">
        <v>0</v>
      </c>
      <c r="N26" s="423">
        <v>0</v>
      </c>
      <c r="O26" s="423">
        <v>0</v>
      </c>
      <c r="P26" s="423">
        <v>0</v>
      </c>
    </row>
    <row r="27" spans="1:16" ht="18.75" hidden="1" thickBot="1" x14ac:dyDescent="0.3">
      <c r="A27" s="366" t="s">
        <v>18</v>
      </c>
      <c r="D27" s="388" t="s">
        <v>94</v>
      </c>
      <c r="E27" s="423">
        <v>0</v>
      </c>
      <c r="F27" s="423">
        <v>0</v>
      </c>
      <c r="G27" s="423">
        <v>0</v>
      </c>
      <c r="H27" s="423">
        <v>0</v>
      </c>
      <c r="I27" s="423">
        <v>0</v>
      </c>
      <c r="J27" s="423">
        <v>0</v>
      </c>
      <c r="K27" s="423">
        <v>0</v>
      </c>
      <c r="L27" s="423">
        <v>0</v>
      </c>
      <c r="M27" s="423">
        <v>0</v>
      </c>
      <c r="N27" s="423">
        <v>0</v>
      </c>
      <c r="O27" s="423">
        <v>0</v>
      </c>
      <c r="P27" s="423">
        <v>0</v>
      </c>
    </row>
    <row r="28" spans="1:16" ht="18.75" hidden="1" thickBot="1" x14ac:dyDescent="0.3">
      <c r="A28" s="361" t="s">
        <v>43</v>
      </c>
      <c r="D28" s="388" t="s">
        <v>137</v>
      </c>
      <c r="E28" s="423">
        <v>0</v>
      </c>
      <c r="F28" s="423">
        <v>0</v>
      </c>
      <c r="G28" s="423">
        <v>0</v>
      </c>
      <c r="H28" s="423">
        <v>0</v>
      </c>
      <c r="I28" s="423">
        <v>0</v>
      </c>
      <c r="J28" s="423">
        <v>0</v>
      </c>
      <c r="K28" s="423">
        <v>0</v>
      </c>
      <c r="L28" s="423">
        <v>0</v>
      </c>
      <c r="M28" s="423">
        <v>0</v>
      </c>
      <c r="N28" s="423">
        <v>0</v>
      </c>
      <c r="O28" s="423">
        <v>0</v>
      </c>
      <c r="P28" s="423">
        <v>0</v>
      </c>
    </row>
    <row r="29" spans="1:16" ht="18.75" hidden="1" thickBot="1" x14ac:dyDescent="0.3">
      <c r="A29" s="361" t="s">
        <v>43</v>
      </c>
      <c r="D29" s="388" t="s">
        <v>138</v>
      </c>
      <c r="E29" s="423">
        <v>0</v>
      </c>
      <c r="F29" s="423">
        <v>0</v>
      </c>
      <c r="G29" s="423">
        <v>0</v>
      </c>
      <c r="H29" s="423">
        <v>0</v>
      </c>
      <c r="I29" s="423">
        <v>0</v>
      </c>
      <c r="J29" s="423">
        <v>0</v>
      </c>
      <c r="K29" s="423">
        <v>0</v>
      </c>
      <c r="L29" s="423">
        <v>0</v>
      </c>
      <c r="M29" s="423">
        <v>0</v>
      </c>
      <c r="N29" s="423">
        <v>0</v>
      </c>
      <c r="O29" s="423">
        <v>0</v>
      </c>
      <c r="P29" s="423">
        <v>0</v>
      </c>
    </row>
    <row r="30" spans="1:16" ht="18.75" hidden="1" thickBot="1" x14ac:dyDescent="0.3">
      <c r="D30" s="259" t="s">
        <v>260</v>
      </c>
      <c r="E30" s="420">
        <f t="shared" ref="E30:J30" si="0">SUM(E22:E29)</f>
        <v>0</v>
      </c>
      <c r="F30" s="420">
        <f t="shared" si="0"/>
        <v>0</v>
      </c>
      <c r="G30" s="420">
        <f t="shared" si="0"/>
        <v>0</v>
      </c>
      <c r="H30" s="420">
        <f t="shared" si="0"/>
        <v>0</v>
      </c>
      <c r="I30" s="420">
        <f t="shared" si="0"/>
        <v>0</v>
      </c>
      <c r="J30" s="420">
        <f t="shared" si="0"/>
        <v>0</v>
      </c>
      <c r="K30" s="420">
        <f t="shared" ref="K30:P30" si="1">SUM(K22:K29)</f>
        <v>0</v>
      </c>
      <c r="L30" s="420">
        <f t="shared" si="1"/>
        <v>0</v>
      </c>
      <c r="M30" s="420">
        <f t="shared" si="1"/>
        <v>0</v>
      </c>
      <c r="N30" s="420">
        <f t="shared" si="1"/>
        <v>0</v>
      </c>
      <c r="O30" s="420">
        <f t="shared" si="1"/>
        <v>0</v>
      </c>
      <c r="P30" s="420">
        <f t="shared" si="1"/>
        <v>0</v>
      </c>
    </row>
    <row r="31" spans="1:16" ht="18.75" hidden="1" thickBot="1" x14ac:dyDescent="0.3">
      <c r="D31" s="386" t="s">
        <v>45</v>
      </c>
      <c r="E31" s="422"/>
      <c r="F31" s="422"/>
      <c r="G31" s="422"/>
      <c r="H31" s="422"/>
      <c r="I31" s="422"/>
      <c r="J31" s="422"/>
      <c r="K31" s="422"/>
      <c r="L31" s="422"/>
      <c r="M31" s="422"/>
      <c r="N31" s="422"/>
      <c r="O31" s="422"/>
      <c r="P31" s="422"/>
    </row>
    <row r="32" spans="1:16" ht="18.75" hidden="1" thickBot="1" x14ac:dyDescent="0.3">
      <c r="A32" s="361" t="s">
        <v>43</v>
      </c>
      <c r="D32" s="388" t="s">
        <v>155</v>
      </c>
      <c r="E32" s="423">
        <v>0</v>
      </c>
      <c r="F32" s="423">
        <v>0</v>
      </c>
      <c r="G32" s="423">
        <v>0</v>
      </c>
      <c r="H32" s="423">
        <v>0</v>
      </c>
      <c r="I32" s="423">
        <v>0</v>
      </c>
      <c r="J32" s="423">
        <v>0</v>
      </c>
      <c r="K32" s="423">
        <v>0</v>
      </c>
      <c r="L32" s="423">
        <v>0</v>
      </c>
      <c r="M32" s="423">
        <v>0</v>
      </c>
      <c r="N32" s="423">
        <v>0</v>
      </c>
      <c r="O32" s="423">
        <v>0</v>
      </c>
      <c r="P32" s="423">
        <v>0</v>
      </c>
    </row>
    <row r="33" spans="1:16" ht="18.75" hidden="1" thickBot="1" x14ac:dyDescent="0.3">
      <c r="A33" s="363" t="s">
        <v>44</v>
      </c>
      <c r="D33" s="388" t="s">
        <v>200</v>
      </c>
      <c r="E33" s="423">
        <v>0</v>
      </c>
      <c r="F33" s="423">
        <v>0</v>
      </c>
      <c r="G33" s="423">
        <v>0</v>
      </c>
      <c r="H33" s="423">
        <v>0</v>
      </c>
      <c r="I33" s="423">
        <v>0</v>
      </c>
      <c r="J33" s="423">
        <v>0</v>
      </c>
      <c r="K33" s="423">
        <v>0</v>
      </c>
      <c r="L33" s="423">
        <v>0</v>
      </c>
      <c r="M33" s="423">
        <v>0</v>
      </c>
      <c r="N33" s="423">
        <v>0</v>
      </c>
      <c r="O33" s="423">
        <v>0</v>
      </c>
      <c r="P33" s="423">
        <v>0</v>
      </c>
    </row>
    <row r="34" spans="1:16" ht="18.75" hidden="1" thickBot="1" x14ac:dyDescent="0.3">
      <c r="A34" s="308" t="s">
        <v>46</v>
      </c>
      <c r="D34" s="388" t="s">
        <v>21</v>
      </c>
      <c r="E34" s="423">
        <v>0</v>
      </c>
      <c r="F34" s="423">
        <v>0</v>
      </c>
      <c r="G34" s="423">
        <v>0</v>
      </c>
      <c r="H34" s="423">
        <v>0</v>
      </c>
      <c r="I34" s="423">
        <v>0</v>
      </c>
      <c r="J34" s="423">
        <v>0</v>
      </c>
      <c r="K34" s="423">
        <v>0</v>
      </c>
      <c r="L34" s="423">
        <v>0</v>
      </c>
      <c r="M34" s="423">
        <v>0</v>
      </c>
      <c r="N34" s="423">
        <v>0</v>
      </c>
      <c r="O34" s="423">
        <v>0</v>
      </c>
      <c r="P34" s="423">
        <v>0</v>
      </c>
    </row>
    <row r="35" spans="1:16" ht="18.75" hidden="1" thickBot="1" x14ac:dyDescent="0.3">
      <c r="A35" s="308" t="s">
        <v>46</v>
      </c>
      <c r="D35" s="247" t="s">
        <v>187</v>
      </c>
      <c r="E35" s="423">
        <v>0</v>
      </c>
      <c r="F35" s="423">
        <v>0</v>
      </c>
      <c r="G35" s="423">
        <v>0</v>
      </c>
      <c r="H35" s="423">
        <v>0</v>
      </c>
      <c r="I35" s="423">
        <v>0</v>
      </c>
      <c r="J35" s="423">
        <v>0</v>
      </c>
      <c r="K35" s="423">
        <v>0</v>
      </c>
      <c r="L35" s="423">
        <v>0</v>
      </c>
      <c r="M35" s="423">
        <v>0</v>
      </c>
      <c r="N35" s="423">
        <v>0</v>
      </c>
      <c r="O35" s="423">
        <v>0</v>
      </c>
      <c r="P35" s="423">
        <v>0</v>
      </c>
    </row>
    <row r="36" spans="1:16" ht="18.75" hidden="1" thickBot="1" x14ac:dyDescent="0.3">
      <c r="A36" s="363" t="s">
        <v>44</v>
      </c>
      <c r="D36" s="247" t="s">
        <v>139</v>
      </c>
      <c r="E36" s="423">
        <v>0</v>
      </c>
      <c r="F36" s="423">
        <v>0</v>
      </c>
      <c r="G36" s="423">
        <v>0</v>
      </c>
      <c r="H36" s="423">
        <v>0</v>
      </c>
      <c r="I36" s="423">
        <v>0</v>
      </c>
      <c r="J36" s="423">
        <v>0</v>
      </c>
      <c r="K36" s="423">
        <v>0</v>
      </c>
      <c r="L36" s="423">
        <v>0</v>
      </c>
      <c r="M36" s="423">
        <v>0</v>
      </c>
      <c r="N36" s="423">
        <v>0</v>
      </c>
      <c r="O36" s="423">
        <v>0</v>
      </c>
      <c r="P36" s="423">
        <v>0</v>
      </c>
    </row>
    <row r="37" spans="1:16" ht="18.75" hidden="1" thickBot="1" x14ac:dyDescent="0.3">
      <c r="A37" s="363" t="s">
        <v>44</v>
      </c>
      <c r="D37" s="388" t="s">
        <v>119</v>
      </c>
      <c r="E37" s="423">
        <v>0</v>
      </c>
      <c r="F37" s="423">
        <v>0</v>
      </c>
      <c r="G37" s="423">
        <v>0</v>
      </c>
      <c r="H37" s="423">
        <v>0</v>
      </c>
      <c r="I37" s="423">
        <v>0</v>
      </c>
      <c r="J37" s="423">
        <v>0</v>
      </c>
      <c r="K37" s="423">
        <v>0</v>
      </c>
      <c r="L37" s="423">
        <v>0</v>
      </c>
      <c r="M37" s="423">
        <v>0</v>
      </c>
      <c r="N37" s="423">
        <v>0</v>
      </c>
      <c r="O37" s="423">
        <v>0</v>
      </c>
      <c r="P37" s="423">
        <v>0</v>
      </c>
    </row>
    <row r="38" spans="1:16" ht="18.75" hidden="1" thickBot="1" x14ac:dyDescent="0.3">
      <c r="A38" s="361" t="s">
        <v>43</v>
      </c>
      <c r="D38" s="388" t="s">
        <v>210</v>
      </c>
      <c r="E38" s="423">
        <v>0</v>
      </c>
      <c r="F38" s="423">
        <v>0</v>
      </c>
      <c r="G38" s="423">
        <v>0</v>
      </c>
      <c r="H38" s="423">
        <v>0</v>
      </c>
      <c r="I38" s="423">
        <v>0</v>
      </c>
      <c r="J38" s="423">
        <v>0</v>
      </c>
      <c r="K38" s="423">
        <v>0</v>
      </c>
      <c r="L38" s="423">
        <v>0</v>
      </c>
      <c r="M38" s="423">
        <v>0</v>
      </c>
      <c r="N38" s="423">
        <v>0</v>
      </c>
      <c r="O38" s="423">
        <v>0</v>
      </c>
      <c r="P38" s="423">
        <v>0</v>
      </c>
    </row>
    <row r="39" spans="1:16" ht="18.75" hidden="1" thickBot="1" x14ac:dyDescent="0.3">
      <c r="A39" s="363" t="s">
        <v>44</v>
      </c>
      <c r="D39" s="388" t="s">
        <v>142</v>
      </c>
      <c r="E39" s="423">
        <v>0</v>
      </c>
      <c r="F39" s="423">
        <v>0</v>
      </c>
      <c r="G39" s="423">
        <v>0</v>
      </c>
      <c r="H39" s="423">
        <v>0</v>
      </c>
      <c r="I39" s="423">
        <v>0</v>
      </c>
      <c r="J39" s="423">
        <v>0</v>
      </c>
      <c r="K39" s="423">
        <v>0</v>
      </c>
      <c r="L39" s="423">
        <v>0</v>
      </c>
      <c r="M39" s="423">
        <v>0</v>
      </c>
      <c r="N39" s="423">
        <v>0</v>
      </c>
      <c r="O39" s="423">
        <v>0</v>
      </c>
      <c r="P39" s="423">
        <v>0</v>
      </c>
    </row>
    <row r="40" spans="1:16" ht="18.75" hidden="1" thickBot="1" x14ac:dyDescent="0.3">
      <c r="A40" s="361"/>
      <c r="D40" s="388" t="s">
        <v>129</v>
      </c>
      <c r="E40" s="423">
        <v>0</v>
      </c>
      <c r="F40" s="423">
        <v>0</v>
      </c>
      <c r="G40" s="423">
        <v>0</v>
      </c>
      <c r="H40" s="423">
        <v>0</v>
      </c>
      <c r="I40" s="423">
        <v>0</v>
      </c>
      <c r="J40" s="423">
        <v>0</v>
      </c>
      <c r="K40" s="423">
        <v>0</v>
      </c>
      <c r="L40" s="423">
        <v>0</v>
      </c>
      <c r="M40" s="423">
        <v>0</v>
      </c>
      <c r="N40" s="423">
        <v>0</v>
      </c>
      <c r="O40" s="423">
        <v>0</v>
      </c>
      <c r="P40" s="423">
        <v>0</v>
      </c>
    </row>
    <row r="41" spans="1:16" ht="18.75" hidden="1" thickBot="1" x14ac:dyDescent="0.3">
      <c r="A41" s="308" t="s">
        <v>46</v>
      </c>
      <c r="D41" s="259" t="s">
        <v>123</v>
      </c>
      <c r="E41" s="420">
        <f t="shared" ref="E41:J41" si="2">SUM(E32:E40)</f>
        <v>0</v>
      </c>
      <c r="F41" s="420">
        <f t="shared" si="2"/>
        <v>0</v>
      </c>
      <c r="G41" s="420">
        <f t="shared" si="2"/>
        <v>0</v>
      </c>
      <c r="H41" s="420">
        <f t="shared" si="2"/>
        <v>0</v>
      </c>
      <c r="I41" s="420">
        <f t="shared" si="2"/>
        <v>0</v>
      </c>
      <c r="J41" s="420">
        <f t="shared" si="2"/>
        <v>0</v>
      </c>
      <c r="K41" s="420">
        <f t="shared" ref="K41:P41" si="3">SUM(K32:K40)</f>
        <v>0</v>
      </c>
      <c r="L41" s="420">
        <f t="shared" si="3"/>
        <v>0</v>
      </c>
      <c r="M41" s="420">
        <f t="shared" si="3"/>
        <v>0</v>
      </c>
      <c r="N41" s="420">
        <f t="shared" si="3"/>
        <v>0</v>
      </c>
      <c r="O41" s="420">
        <f t="shared" si="3"/>
        <v>0</v>
      </c>
      <c r="P41" s="420">
        <f t="shared" si="3"/>
        <v>0</v>
      </c>
    </row>
    <row r="42" spans="1:16" ht="18.75" hidden="1" thickBot="1" x14ac:dyDescent="0.3">
      <c r="A42" s="362"/>
      <c r="D42" s="386" t="s">
        <v>19</v>
      </c>
      <c r="E42" s="422"/>
      <c r="F42" s="422"/>
      <c r="G42" s="422"/>
      <c r="H42" s="422"/>
      <c r="I42" s="422"/>
      <c r="J42" s="422"/>
      <c r="K42" s="422"/>
      <c r="L42" s="422"/>
      <c r="M42" s="422"/>
      <c r="N42" s="422"/>
      <c r="O42" s="422"/>
      <c r="P42" s="422"/>
    </row>
    <row r="43" spans="1:16" ht="18.75" hidden="1" thickBot="1" x14ac:dyDescent="0.3">
      <c r="A43" s="363" t="s">
        <v>44</v>
      </c>
      <c r="D43" s="247" t="s">
        <v>118</v>
      </c>
      <c r="E43" s="424">
        <v>0</v>
      </c>
      <c r="F43" s="424">
        <v>0</v>
      </c>
      <c r="G43" s="424">
        <v>0</v>
      </c>
      <c r="H43" s="424">
        <v>0</v>
      </c>
      <c r="I43" s="424">
        <v>0</v>
      </c>
      <c r="J43" s="424">
        <v>0</v>
      </c>
      <c r="K43" s="424">
        <v>0</v>
      </c>
      <c r="L43" s="424">
        <v>0</v>
      </c>
      <c r="M43" s="424">
        <v>0</v>
      </c>
      <c r="N43" s="424">
        <v>0</v>
      </c>
      <c r="O43" s="424">
        <v>0</v>
      </c>
      <c r="P43" s="424">
        <v>0</v>
      </c>
    </row>
    <row r="44" spans="1:16" ht="18.75" hidden="1" thickBot="1" x14ac:dyDescent="0.3">
      <c r="A44" s="363"/>
      <c r="D44" s="247" t="s">
        <v>256</v>
      </c>
      <c r="E44" s="424">
        <v>0</v>
      </c>
      <c r="F44" s="424">
        <v>0</v>
      </c>
      <c r="G44" s="424">
        <v>0</v>
      </c>
      <c r="H44" s="424">
        <v>0</v>
      </c>
      <c r="I44" s="424">
        <v>0</v>
      </c>
      <c r="J44" s="424">
        <v>0</v>
      </c>
      <c r="K44" s="424">
        <v>0</v>
      </c>
      <c r="L44" s="424">
        <v>0</v>
      </c>
      <c r="M44" s="424">
        <v>0</v>
      </c>
      <c r="N44" s="424">
        <v>0</v>
      </c>
      <c r="O44" s="424">
        <v>0</v>
      </c>
      <c r="P44" s="424">
        <v>0</v>
      </c>
    </row>
    <row r="45" spans="1:16" ht="18.75" hidden="1" thickBot="1" x14ac:dyDescent="0.3">
      <c r="A45" s="363"/>
      <c r="D45" s="247" t="s">
        <v>258</v>
      </c>
      <c r="E45" s="424">
        <v>0</v>
      </c>
      <c r="F45" s="424">
        <v>0</v>
      </c>
      <c r="G45" s="424">
        <v>0</v>
      </c>
      <c r="H45" s="424">
        <v>0</v>
      </c>
      <c r="I45" s="424">
        <v>0</v>
      </c>
      <c r="J45" s="424">
        <v>0</v>
      </c>
      <c r="K45" s="424">
        <v>0</v>
      </c>
      <c r="L45" s="424">
        <v>0</v>
      </c>
      <c r="M45" s="424">
        <v>0</v>
      </c>
      <c r="N45" s="424">
        <v>0</v>
      </c>
      <c r="O45" s="424">
        <v>0</v>
      </c>
      <c r="P45" s="424">
        <v>0</v>
      </c>
    </row>
    <row r="46" spans="1:16" ht="18.75" hidden="1" thickBot="1" x14ac:dyDescent="0.3">
      <c r="D46" s="259" t="s">
        <v>20</v>
      </c>
      <c r="E46" s="420">
        <f t="shared" ref="E46:J46" si="4">SUM(E43)</f>
        <v>0</v>
      </c>
      <c r="F46" s="420">
        <f t="shared" si="4"/>
        <v>0</v>
      </c>
      <c r="G46" s="420">
        <f t="shared" si="4"/>
        <v>0</v>
      </c>
      <c r="H46" s="420">
        <f t="shared" si="4"/>
        <v>0</v>
      </c>
      <c r="I46" s="420">
        <f t="shared" si="4"/>
        <v>0</v>
      </c>
      <c r="J46" s="420">
        <f t="shared" si="4"/>
        <v>0</v>
      </c>
      <c r="K46" s="420">
        <f t="shared" ref="K46:P46" si="5">SUM(K43)</f>
        <v>0</v>
      </c>
      <c r="L46" s="420">
        <f t="shared" si="5"/>
        <v>0</v>
      </c>
      <c r="M46" s="420">
        <f t="shared" si="5"/>
        <v>0</v>
      </c>
      <c r="N46" s="420">
        <f t="shared" si="5"/>
        <v>0</v>
      </c>
      <c r="O46" s="420">
        <f t="shared" si="5"/>
        <v>0</v>
      </c>
      <c r="P46" s="420">
        <f t="shared" si="5"/>
        <v>0</v>
      </c>
    </row>
    <row r="47" spans="1:16" ht="18.75" hidden="1" thickBot="1" x14ac:dyDescent="0.3">
      <c r="D47" s="386" t="s">
        <v>22</v>
      </c>
      <c r="E47" s="422"/>
      <c r="F47" s="422"/>
      <c r="G47" s="422"/>
      <c r="H47" s="422"/>
      <c r="I47" s="422"/>
      <c r="J47" s="422"/>
      <c r="K47" s="422"/>
      <c r="L47" s="422"/>
      <c r="M47" s="422"/>
      <c r="N47" s="422"/>
      <c r="O47" s="422"/>
      <c r="P47" s="422"/>
    </row>
    <row r="48" spans="1:16" ht="18.75" hidden="1" thickBot="1" x14ac:dyDescent="0.3">
      <c r="A48" s="308" t="s">
        <v>46</v>
      </c>
      <c r="D48" s="247" t="s">
        <v>7</v>
      </c>
      <c r="E48" s="423">
        <v>0</v>
      </c>
      <c r="F48" s="423">
        <v>0</v>
      </c>
      <c r="G48" s="423">
        <v>0</v>
      </c>
      <c r="H48" s="423">
        <v>0</v>
      </c>
      <c r="I48" s="423">
        <v>0</v>
      </c>
      <c r="J48" s="423">
        <v>0</v>
      </c>
      <c r="K48" s="423">
        <v>0</v>
      </c>
      <c r="L48" s="423">
        <v>0</v>
      </c>
      <c r="M48" s="423">
        <v>0</v>
      </c>
      <c r="N48" s="423">
        <v>0</v>
      </c>
      <c r="O48" s="423">
        <v>0</v>
      </c>
      <c r="P48" s="423">
        <v>0</v>
      </c>
    </row>
    <row r="49" spans="1:16" ht="18.75" hidden="1" thickBot="1" x14ac:dyDescent="0.3">
      <c r="A49" s="366" t="s">
        <v>18</v>
      </c>
      <c r="D49" s="247" t="s">
        <v>134</v>
      </c>
      <c r="E49" s="423">
        <v>0</v>
      </c>
      <c r="F49" s="423">
        <v>0</v>
      </c>
      <c r="G49" s="423">
        <v>0</v>
      </c>
      <c r="H49" s="423">
        <v>0</v>
      </c>
      <c r="I49" s="423">
        <v>0</v>
      </c>
      <c r="J49" s="423">
        <v>0</v>
      </c>
      <c r="K49" s="423">
        <v>0</v>
      </c>
      <c r="L49" s="423">
        <v>0</v>
      </c>
      <c r="M49" s="423">
        <v>0</v>
      </c>
      <c r="N49" s="423">
        <v>0</v>
      </c>
      <c r="O49" s="423">
        <v>0</v>
      </c>
      <c r="P49" s="423">
        <v>0</v>
      </c>
    </row>
    <row r="50" spans="1:16" ht="18.75" hidden="1" thickBot="1" x14ac:dyDescent="0.3">
      <c r="A50" s="308" t="s">
        <v>46</v>
      </c>
      <c r="D50" s="247" t="s">
        <v>193</v>
      </c>
      <c r="E50" s="423">
        <v>0</v>
      </c>
      <c r="F50" s="423">
        <v>0</v>
      </c>
      <c r="G50" s="423">
        <v>0</v>
      </c>
      <c r="H50" s="423">
        <v>0</v>
      </c>
      <c r="I50" s="423">
        <v>0</v>
      </c>
      <c r="J50" s="423">
        <v>0</v>
      </c>
      <c r="K50" s="423">
        <v>0</v>
      </c>
      <c r="L50" s="423">
        <v>0</v>
      </c>
      <c r="M50" s="423">
        <v>0</v>
      </c>
      <c r="N50" s="423">
        <v>0</v>
      </c>
      <c r="O50" s="423">
        <v>0</v>
      </c>
      <c r="P50" s="423">
        <v>0</v>
      </c>
    </row>
    <row r="51" spans="1:16" ht="18.75" hidden="1" thickBot="1" x14ac:dyDescent="0.3">
      <c r="A51" s="308" t="s">
        <v>46</v>
      </c>
      <c r="D51" s="247" t="s">
        <v>222</v>
      </c>
      <c r="E51" s="423">
        <v>0</v>
      </c>
      <c r="F51" s="423">
        <v>0</v>
      </c>
      <c r="G51" s="423">
        <v>0</v>
      </c>
      <c r="H51" s="423">
        <v>0</v>
      </c>
      <c r="I51" s="423">
        <v>0</v>
      </c>
      <c r="J51" s="423">
        <v>0</v>
      </c>
      <c r="K51" s="423">
        <v>0</v>
      </c>
      <c r="L51" s="423">
        <v>0</v>
      </c>
      <c r="M51" s="423">
        <v>0</v>
      </c>
      <c r="N51" s="423">
        <v>0</v>
      </c>
      <c r="O51" s="423">
        <v>0</v>
      </c>
      <c r="P51" s="423">
        <v>0</v>
      </c>
    </row>
    <row r="52" spans="1:16" ht="18.75" hidden="1" thickBot="1" x14ac:dyDescent="0.3">
      <c r="A52" s="308"/>
      <c r="D52" s="247" t="s">
        <v>219</v>
      </c>
      <c r="E52" s="423">
        <v>0</v>
      </c>
      <c r="F52" s="423">
        <v>0</v>
      </c>
      <c r="G52" s="423">
        <v>0</v>
      </c>
      <c r="H52" s="423">
        <v>0</v>
      </c>
      <c r="I52" s="423">
        <v>0</v>
      </c>
      <c r="J52" s="423">
        <v>0</v>
      </c>
      <c r="K52" s="423">
        <v>0</v>
      </c>
      <c r="L52" s="423">
        <v>0</v>
      </c>
      <c r="M52" s="423">
        <v>0</v>
      </c>
      <c r="N52" s="423">
        <v>0</v>
      </c>
      <c r="O52" s="423">
        <v>0</v>
      </c>
      <c r="P52" s="423">
        <v>0</v>
      </c>
    </row>
    <row r="53" spans="1:16" ht="18.75" hidden="1" thickBot="1" x14ac:dyDescent="0.3">
      <c r="A53" s="308" t="s">
        <v>46</v>
      </c>
      <c r="D53" s="247" t="s">
        <v>8</v>
      </c>
      <c r="E53" s="423">
        <v>0</v>
      </c>
      <c r="F53" s="423">
        <v>0</v>
      </c>
      <c r="G53" s="423">
        <v>0</v>
      </c>
      <c r="H53" s="423">
        <v>0</v>
      </c>
      <c r="I53" s="423">
        <v>0</v>
      </c>
      <c r="J53" s="423">
        <v>0</v>
      </c>
      <c r="K53" s="423">
        <v>0</v>
      </c>
      <c r="L53" s="423">
        <v>0</v>
      </c>
      <c r="M53" s="423">
        <v>0</v>
      </c>
      <c r="N53" s="423">
        <v>0</v>
      </c>
      <c r="O53" s="423">
        <v>0</v>
      </c>
      <c r="P53" s="423">
        <v>0</v>
      </c>
    </row>
    <row r="54" spans="1:16" ht="18.75" hidden="1" thickBot="1" x14ac:dyDescent="0.3">
      <c r="A54" s="308" t="s">
        <v>46</v>
      </c>
      <c r="D54" s="247" t="s">
        <v>220</v>
      </c>
      <c r="E54" s="423">
        <v>0</v>
      </c>
      <c r="F54" s="423">
        <v>0</v>
      </c>
      <c r="G54" s="423">
        <v>0</v>
      </c>
      <c r="H54" s="423">
        <v>0</v>
      </c>
      <c r="I54" s="423">
        <v>0</v>
      </c>
      <c r="J54" s="423">
        <v>0</v>
      </c>
      <c r="K54" s="423">
        <v>0</v>
      </c>
      <c r="L54" s="423">
        <v>0</v>
      </c>
      <c r="M54" s="423">
        <v>0</v>
      </c>
      <c r="N54" s="423">
        <v>0</v>
      </c>
      <c r="O54" s="423">
        <v>0</v>
      </c>
      <c r="P54" s="423">
        <v>0</v>
      </c>
    </row>
    <row r="55" spans="1:16" ht="18.75" hidden="1" thickBot="1" x14ac:dyDescent="0.3">
      <c r="A55" s="308"/>
      <c r="D55" s="247" t="s">
        <v>223</v>
      </c>
      <c r="E55" s="423">
        <v>0</v>
      </c>
      <c r="F55" s="423">
        <v>0</v>
      </c>
      <c r="G55" s="423">
        <v>0</v>
      </c>
      <c r="H55" s="423">
        <v>0</v>
      </c>
      <c r="I55" s="423">
        <v>0</v>
      </c>
      <c r="J55" s="423">
        <v>0</v>
      </c>
      <c r="K55" s="423">
        <v>0</v>
      </c>
      <c r="L55" s="423">
        <v>0</v>
      </c>
      <c r="M55" s="423">
        <v>0</v>
      </c>
      <c r="N55" s="423">
        <v>0</v>
      </c>
      <c r="O55" s="423">
        <v>0</v>
      </c>
      <c r="P55" s="423">
        <v>0</v>
      </c>
    </row>
    <row r="56" spans="1:16" ht="18.75" hidden="1" thickBot="1" x14ac:dyDescent="0.3">
      <c r="A56" s="308" t="s">
        <v>46</v>
      </c>
      <c r="D56" s="247" t="s">
        <v>221</v>
      </c>
      <c r="E56" s="423">
        <v>0</v>
      </c>
      <c r="F56" s="423">
        <v>0</v>
      </c>
      <c r="G56" s="423">
        <v>0</v>
      </c>
      <c r="H56" s="423">
        <v>0</v>
      </c>
      <c r="I56" s="423">
        <v>0</v>
      </c>
      <c r="J56" s="423">
        <v>0</v>
      </c>
      <c r="K56" s="423">
        <v>0</v>
      </c>
      <c r="L56" s="423">
        <v>0</v>
      </c>
      <c r="M56" s="423">
        <v>0</v>
      </c>
      <c r="N56" s="423">
        <v>0</v>
      </c>
      <c r="O56" s="423">
        <v>0</v>
      </c>
      <c r="P56" s="423">
        <v>0</v>
      </c>
    </row>
    <row r="57" spans="1:16" ht="18.75" hidden="1" thickBot="1" x14ac:dyDescent="0.3">
      <c r="D57" s="259" t="s">
        <v>23</v>
      </c>
      <c r="E57" s="420">
        <f t="shared" ref="E57:J57" si="6">SUM(E48:E56)</f>
        <v>0</v>
      </c>
      <c r="F57" s="420">
        <f t="shared" si="6"/>
        <v>0</v>
      </c>
      <c r="G57" s="420">
        <f t="shared" si="6"/>
        <v>0</v>
      </c>
      <c r="H57" s="420">
        <f t="shared" si="6"/>
        <v>0</v>
      </c>
      <c r="I57" s="420">
        <f t="shared" si="6"/>
        <v>0</v>
      </c>
      <c r="J57" s="420">
        <f t="shared" si="6"/>
        <v>0</v>
      </c>
      <c r="K57" s="420">
        <f t="shared" ref="K57:P57" si="7">SUM(K48:K56)</f>
        <v>0</v>
      </c>
      <c r="L57" s="420">
        <f t="shared" si="7"/>
        <v>0</v>
      </c>
      <c r="M57" s="420">
        <f t="shared" si="7"/>
        <v>0</v>
      </c>
      <c r="N57" s="420">
        <f t="shared" si="7"/>
        <v>0</v>
      </c>
      <c r="O57" s="420">
        <f t="shared" si="7"/>
        <v>0</v>
      </c>
      <c r="P57" s="420">
        <f t="shared" si="7"/>
        <v>0</v>
      </c>
    </row>
    <row r="58" spans="1:16" ht="18.75" hidden="1" thickBot="1" x14ac:dyDescent="0.3">
      <c r="D58" s="259" t="s">
        <v>24</v>
      </c>
      <c r="E58" s="425"/>
      <c r="F58" s="425"/>
      <c r="G58" s="425"/>
      <c r="H58" s="425"/>
      <c r="I58" s="425"/>
      <c r="J58" s="425"/>
      <c r="K58" s="425"/>
      <c r="L58" s="425"/>
      <c r="M58" s="425"/>
      <c r="N58" s="425"/>
      <c r="O58" s="425"/>
      <c r="P58" s="425"/>
    </row>
    <row r="59" spans="1:16" ht="18.75" hidden="1" thickBot="1" x14ac:dyDescent="0.3">
      <c r="D59" s="376" t="s">
        <v>25</v>
      </c>
      <c r="E59" s="423">
        <f>'2014-25 ES CT E Table D-$'!E58/('2014-24 ESCTETable D3-lftimekWh'!E21*1000)</f>
        <v>4.9535973759748247E-2</v>
      </c>
      <c r="F59" s="423">
        <f>'2014-25 ES CT E Table D-$'!F58/('2014-24 ESCTETable D3-lftimekWh'!F21*1000)</f>
        <v>5.5561360195639869E-2</v>
      </c>
      <c r="G59" s="423">
        <f>'2014-25 ES CT E Table D-$'!G58/('2014-24 ESCTETable D3-lftimekWh'!G21*1000)</f>
        <v>4.9347380496130695E-2</v>
      </c>
      <c r="H59" s="423">
        <f>'2014-25 ES CT E Table D-$'!H58/('2014-24 ESCTETable D3-lftimekWh'!H21*1000)</f>
        <v>4.4465306710878075E-2</v>
      </c>
      <c r="I59" s="423">
        <f>'2014-25 ES CT E Table D-$'!I58/('2014-24 ESCTETable D3-lftimekWh'!I21*1000)</f>
        <v>4.2914820998755723E-2</v>
      </c>
      <c r="J59" s="423">
        <f>'2014-25 ES CT E Table D-$'!J58/('2014-24 ESCTETable D3-lftimekWh'!J21*1000)</f>
        <v>5.9943250052271753E-2</v>
      </c>
      <c r="K59" s="423">
        <f>'2014-25 ES CT E Table D-$'!K58/('2014-24 ESCTETable D3-lftimekWh'!K21*1000)</f>
        <v>8.2020875503458907E-2</v>
      </c>
      <c r="L59" s="423">
        <f>'2014-25 ES CT E Table D-$'!L58/('2014-24 ESCTETable D3-lftimekWh'!L21*1000)</f>
        <v>0.11903553574716361</v>
      </c>
      <c r="M59" s="423">
        <f>'2014-25 ES CT E Table D-$'!M58/('2014-24 ESCTETable D3-lftimekWh'!M21*1000)</f>
        <v>0.15403849557732016</v>
      </c>
      <c r="N59" s="423">
        <f>'2014-25 ES CT E Table D-$'!N58/('2014-24 ESCTETable D3-lftimekWh'!N21*1000)</f>
        <v>0.2060500488190708</v>
      </c>
      <c r="O59" s="423">
        <f>'2014-25 ES CT E Table D-$'!O58/('2014-24 ESCTETable D3-lftimekWh'!O21*1000)</f>
        <v>0.32876614496350121</v>
      </c>
      <c r="P59" s="423">
        <f>'2014-25 ES CT E Table D-$'!P58/('2014-24 ESCTETable D3-lftimekWh'!P21*1000)</f>
        <v>0.4551967144990815</v>
      </c>
    </row>
    <row r="60" spans="1:16" ht="18.75" hidden="1" thickBot="1" x14ac:dyDescent="0.3">
      <c r="D60" s="376" t="s">
        <v>26</v>
      </c>
      <c r="E60" s="423">
        <f>'2014-25 ES CT E Table D-$'!E59/('2014-24 ESCTETable D3-lftimekWh'!E22*1000)</f>
        <v>3.1119145257181763E-2</v>
      </c>
      <c r="F60" s="423">
        <f>'2014-25 ES CT E Table D-$'!F59/('2014-24 ESCTETable D3-lftimekWh'!F22*1000)</f>
        <v>3.3624682502409728E-2</v>
      </c>
      <c r="G60" s="423">
        <f>'2014-25 ES CT E Table D-$'!G59/('2014-24 ESCTETable D3-lftimekWh'!G22*1000)</f>
        <v>3.3421425215004012E-2</v>
      </c>
      <c r="H60" s="423">
        <f>'2014-25 ES CT E Table D-$'!H59/('2014-24 ESCTETable D3-lftimekWh'!H22*1000)</f>
        <v>3.545593537028878E-2</v>
      </c>
      <c r="I60" s="423">
        <f>'2014-25 ES CT E Table D-$'!I59/('2014-24 ESCTETable D3-lftimekWh'!I22*1000)</f>
        <v>3.3032932583729024E-2</v>
      </c>
      <c r="J60" s="423">
        <f>'2014-25 ES CT E Table D-$'!J59/('2014-24 ESCTETable D3-lftimekWh'!J22*1000)</f>
        <v>3.1163412974902226E-2</v>
      </c>
      <c r="K60" s="423">
        <f>'2014-25 ES CT E Table D-$'!K59/('2014-24 ESCTETable D3-lftimekWh'!K22*1000)</f>
        <v>3.565988639065229E-2</v>
      </c>
      <c r="L60" s="423">
        <f>'2014-25 ES CT E Table D-$'!L59/('2014-24 ESCTETable D3-lftimekWh'!L22*1000)</f>
        <v>4.5538242107303006E-2</v>
      </c>
      <c r="M60" s="423">
        <f>'2014-25 ES CT E Table D-$'!M59/('2014-24 ESCTETable D3-lftimekWh'!M22*1000)</f>
        <v>3.9237874264978177E-2</v>
      </c>
      <c r="N60" s="423">
        <f>'2014-25 ES CT E Table D-$'!N59/('2014-24 ESCTETable D3-lftimekWh'!N22*1000)</f>
        <v>7.060711202996664E-2</v>
      </c>
      <c r="O60" s="423">
        <f>'2014-25 ES CT E Table D-$'!O59/('2014-24 ESCTETable D3-lftimekWh'!O22*1000)</f>
        <v>7.6476644824995263E-2</v>
      </c>
      <c r="P60" s="423">
        <f>'2014-25 ES CT E Table D-$'!P59/('2014-24 ESCTETable D3-lftimekWh'!P22*1000)</f>
        <v>7.7983881646349701E-2</v>
      </c>
    </row>
    <row r="61" spans="1:16" ht="18.75" hidden="1" thickBot="1" x14ac:dyDescent="0.3">
      <c r="D61" s="376" t="s">
        <v>167</v>
      </c>
      <c r="E61" s="424">
        <v>0</v>
      </c>
      <c r="F61" s="424">
        <v>0</v>
      </c>
      <c r="G61" s="424">
        <v>0</v>
      </c>
      <c r="H61" s="424">
        <v>0</v>
      </c>
      <c r="I61" s="424">
        <v>0</v>
      </c>
      <c r="J61" s="424">
        <v>0</v>
      </c>
      <c r="K61" s="424">
        <v>1</v>
      </c>
      <c r="L61" s="424">
        <v>2</v>
      </c>
      <c r="M61" s="424">
        <v>3</v>
      </c>
      <c r="N61" s="424">
        <v>3</v>
      </c>
      <c r="O61" s="424">
        <v>3</v>
      </c>
      <c r="P61" s="424">
        <v>3</v>
      </c>
    </row>
    <row r="62" spans="1:16" ht="18.75" thickBot="1" x14ac:dyDescent="0.3">
      <c r="D62" s="376" t="s">
        <v>124</v>
      </c>
      <c r="E62" s="420">
        <f>'2014-25 ES CT E Table D-$'!E61/('2014-24 ESCTETable D3-lftimekWh'!E23*1000)</f>
        <v>4.2861943697476548E-2</v>
      </c>
      <c r="F62" s="420">
        <f>'2014-25 ES CT E Table D-$'!F61/('2014-24 ESCTETable D3-lftimekWh'!F23*1000)</f>
        <v>4.5173380560628758E-2</v>
      </c>
      <c r="G62" s="420">
        <f>'2014-25 ES CT E Table D-$'!G61/('2014-24 ESCTETable D3-lftimekWh'!G23*1000)</f>
        <v>4.3256144431964912E-2</v>
      </c>
      <c r="H62" s="420">
        <f>'2014-25 ES CT E Table D-$'!H61/('2014-24 ESCTETable D3-lftimekWh'!H23*1000)</f>
        <v>4.2608566381322426E-2</v>
      </c>
      <c r="I62" s="420">
        <f>'2014-25 ES CT E Table D-$'!I61/('2014-24 ESCTETable D3-lftimekWh'!I23*1000)</f>
        <v>4.1329110405654755E-2</v>
      </c>
      <c r="J62" s="420">
        <f>'2014-25 ES CT E Table D-$'!J61/('2014-24 ESCTETable D3-lftimekWh'!J23*1000)</f>
        <v>4.3763306572958405E-2</v>
      </c>
      <c r="K62" s="420">
        <f>'2014-25 ES CT E Table D-$'!K61/('2014-24 ESCTETable D3-lftimekWh'!K23*1000)</f>
        <v>5.0709026750439763E-2</v>
      </c>
      <c r="L62" s="420">
        <f>'2014-25 ES CT E Table D-$'!L61/('2014-24 ESCTETable D3-lftimekWh'!L23*1000)</f>
        <v>7.0926865427079017E-2</v>
      </c>
      <c r="M62" s="420">
        <f>'2014-25 ES CT E Table D-$'!M61/('2014-24 ESCTETable D3-lftimekWh'!M23*1000)</f>
        <v>7.3654218355887507E-2</v>
      </c>
      <c r="N62" s="420">
        <f>'2014-25 ES CT E Table D-$'!N61/('2014-24 ESCTETable D3-lftimekWh'!N23*1000)</f>
        <v>0.11521995655968238</v>
      </c>
      <c r="O62" s="420">
        <f>'2014-25 ES CT E Table D-$'!O61/('2014-24 ESCTETable D3-lftimekWh'!O23*1000)</f>
        <v>0.1369728661167888</v>
      </c>
      <c r="P62" s="420">
        <f>'2014-25 ES CT E Table D-$'!P61/('2014-24 ESCTETable D3-lftimekWh'!P23*1000)</f>
        <v>0.14618740480456632</v>
      </c>
    </row>
    <row r="63" spans="1:16" ht="18.75" thickBot="1" x14ac:dyDescent="0.3">
      <c r="D63" s="376" t="s">
        <v>99</v>
      </c>
      <c r="E63" s="420">
        <f>'2014-25 ES CT E Table D-$'!E62/('2014-24 ESCTETable D3-lftimekWh'!E23*1000)</f>
        <v>4.1109202658644213E-2</v>
      </c>
      <c r="F63" s="420">
        <f>'2014-25 ES CT E Table D-$'!F62/('2014-24 ESCTETable D3-lftimekWh'!F23*1000)</f>
        <v>4.4042161479553608E-2</v>
      </c>
      <c r="G63" s="420">
        <f>'2014-25 ES CT E Table D-$'!G62/('2014-24 ESCTETable D3-lftimekWh'!G23*1000)</f>
        <v>4.2504389496628221E-2</v>
      </c>
      <c r="H63" s="420">
        <f>'2014-25 ES CT E Table D-$'!H62/('2014-24 ESCTETable D3-lftimekWh'!H23*1000)</f>
        <v>4.1984745322664864E-2</v>
      </c>
      <c r="I63" s="420">
        <f>'2014-25 ES CT E Table D-$'!I62/('2014-24 ESCTETable D3-lftimekWh'!I23*1000)</f>
        <v>4.05524254294157E-2</v>
      </c>
      <c r="J63" s="420">
        <f>'2014-25 ES CT E Table D-$'!J62/('2014-24 ESCTETable D3-lftimekWh'!J23*1000)</f>
        <v>4.3256167933793582E-2</v>
      </c>
      <c r="K63" s="420">
        <f>'2014-25 ES CT E Table D-$'!K62/('2014-24 ESCTETable D3-lftimekWh'!K23*1000)</f>
        <v>5.0709026750439763E-2</v>
      </c>
      <c r="L63" s="420">
        <f>'2014-25 ES CT E Table D-$'!L62/('2014-24 ESCTETable D3-lftimekWh'!L23*1000)</f>
        <v>7.0926865427079017E-2</v>
      </c>
      <c r="M63" s="420">
        <f>'2014-25 ES CT E Table D-$'!M62/('2014-24 ESCTETable D3-lftimekWh'!M23*1000)</f>
        <v>7.3654218355887507E-2</v>
      </c>
      <c r="N63" s="420">
        <f>'2014-25 ES CT E Table D-$'!N62/('2014-24 ESCTETable D3-lftimekWh'!N23*1000)</f>
        <v>0.11521995655968238</v>
      </c>
      <c r="O63" s="420">
        <f>'2014-25 ES CT E Table D-$'!O62/('2014-24 ESCTETable D3-lftimekWh'!O23*1000)</f>
        <v>0.1369728661167888</v>
      </c>
      <c r="P63" s="420">
        <f>'2014-25 ES CT E Table D-$'!P62/('2014-24 ESCTETable D3-lftimekWh'!P23*1000)</f>
        <v>0.14618740480456632</v>
      </c>
    </row>
  </sheetData>
  <mergeCells count="5">
    <mergeCell ref="D4:M4"/>
    <mergeCell ref="D2:P2"/>
    <mergeCell ref="D3:P3"/>
    <mergeCell ref="D7:P7"/>
    <mergeCell ref="D15:P15"/>
  </mergeCells>
  <printOptions horizontalCentered="1"/>
  <pageMargins left="0.7" right="0.7" top="0.75" bottom="0.75" header="0.3" footer="0.3"/>
  <pageSetup scale="47"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5DFA1-729A-471F-AB02-019D24E8069A}">
  <sheetPr>
    <tabColor theme="9" tint="0.39997558519241921"/>
    <pageSetUpPr fitToPage="1"/>
  </sheetPr>
  <dimension ref="A1:O39"/>
  <sheetViews>
    <sheetView showGridLines="0" topLeftCell="C1" zoomScale="70" zoomScaleNormal="70" workbookViewId="0">
      <pane xSplit="2" topLeftCell="E1" activePane="topRight" state="frozen"/>
      <selection activeCell="D110" sqref="D110:I114"/>
      <selection pane="topRight" activeCell="C8" sqref="C8"/>
    </sheetView>
  </sheetViews>
  <sheetFormatPr defaultRowHeight="12.75" x14ac:dyDescent="0.2"/>
  <cols>
    <col min="1" max="1" width="4" hidden="1" customWidth="1"/>
    <col min="2" max="2" width="4.28515625" hidden="1" customWidth="1"/>
    <col min="3" max="3" width="4.28515625" customWidth="1"/>
    <col min="4" max="4" width="63.7109375" customWidth="1"/>
    <col min="5" max="10" width="14.7109375" customWidth="1"/>
    <col min="13" max="14" width="9.42578125" bestFit="1" customWidth="1"/>
  </cols>
  <sheetData>
    <row r="1" spans="1:15" x14ac:dyDescent="0.2">
      <c r="E1" s="4"/>
      <c r="F1" s="4"/>
      <c r="G1" s="4"/>
      <c r="H1" s="4"/>
      <c r="I1" s="4"/>
      <c r="J1" s="4"/>
    </row>
    <row r="2" spans="1:15" ht="21" customHeight="1" x14ac:dyDescent="0.35">
      <c r="A2" s="4"/>
      <c r="B2" s="4"/>
      <c r="C2" s="4"/>
      <c r="D2" s="869" t="s">
        <v>440</v>
      </c>
      <c r="E2" s="869"/>
      <c r="F2" s="869"/>
      <c r="G2" s="869"/>
      <c r="H2" s="955"/>
      <c r="I2" s="955"/>
      <c r="J2" s="955"/>
    </row>
    <row r="3" spans="1:15" ht="21" customHeight="1" x14ac:dyDescent="0.35">
      <c r="A3" s="4"/>
      <c r="B3" s="4"/>
      <c r="C3" s="4"/>
      <c r="D3" s="950" t="s">
        <v>441</v>
      </c>
      <c r="E3" s="950"/>
      <c r="F3" s="950"/>
      <c r="G3" s="950"/>
      <c r="H3" s="955"/>
      <c r="I3" s="955"/>
      <c r="J3" s="955"/>
    </row>
    <row r="4" spans="1:15" ht="24" customHeight="1" thickBot="1" x14ac:dyDescent="0.3">
      <c r="A4" s="4"/>
      <c r="B4" s="23"/>
      <c r="C4" s="23"/>
      <c r="D4" s="41"/>
      <c r="E4" s="41"/>
      <c r="F4" s="41"/>
      <c r="G4" s="41"/>
      <c r="H4" s="953"/>
      <c r="I4" s="954"/>
      <c r="J4" s="954"/>
    </row>
    <row r="5" spans="1:15" ht="24" customHeight="1" x14ac:dyDescent="0.25">
      <c r="A5" s="4"/>
      <c r="D5" s="392"/>
      <c r="E5" s="293"/>
      <c r="F5" s="293"/>
      <c r="G5" s="293"/>
      <c r="H5" s="293"/>
      <c r="I5" s="293"/>
      <c r="J5" s="293"/>
    </row>
    <row r="6" spans="1:15" ht="18" customHeight="1" x14ac:dyDescent="0.25">
      <c r="A6" s="4"/>
      <c r="B6" s="23"/>
      <c r="C6" s="23"/>
      <c r="D6" s="256"/>
      <c r="E6" s="256">
        <v>2019</v>
      </c>
      <c r="F6" s="256">
        <v>2020</v>
      </c>
      <c r="G6" s="256">
        <v>2021</v>
      </c>
      <c r="H6" s="256">
        <v>2022</v>
      </c>
      <c r="I6" s="256">
        <v>2023</v>
      </c>
      <c r="J6" s="256">
        <v>2024</v>
      </c>
    </row>
    <row r="7" spans="1:15" ht="17.25" customHeight="1" thickBot="1" x14ac:dyDescent="0.3">
      <c r="A7" s="15"/>
      <c r="B7" s="15"/>
      <c r="C7" s="15"/>
      <c r="D7" s="390"/>
      <c r="E7" s="391" t="s">
        <v>98</v>
      </c>
      <c r="F7" s="391" t="s">
        <v>98</v>
      </c>
      <c r="G7" s="391" t="s">
        <v>98</v>
      </c>
      <c r="H7" s="391" t="s">
        <v>269</v>
      </c>
      <c r="I7" s="391" t="s">
        <v>269</v>
      </c>
      <c r="J7" s="391" t="s">
        <v>269</v>
      </c>
    </row>
    <row r="8" spans="1:15" ht="21.75" customHeight="1" thickBot="1" x14ac:dyDescent="0.3">
      <c r="A8" s="15"/>
      <c r="B8" s="15"/>
      <c r="C8" s="15"/>
      <c r="D8" s="957" t="s">
        <v>15</v>
      </c>
      <c r="E8" s="957"/>
      <c r="F8" s="957"/>
      <c r="G8" s="957"/>
      <c r="H8" s="952"/>
      <c r="I8" s="952"/>
      <c r="J8" s="952"/>
    </row>
    <row r="9" spans="1:15" s="7" customFormat="1" ht="18.75" thickBot="1" x14ac:dyDescent="0.3">
      <c r="A9" s="24" t="s">
        <v>43</v>
      </c>
      <c r="B9" s="25"/>
      <c r="C9" s="25"/>
      <c r="D9" s="577" t="s">
        <v>165</v>
      </c>
      <c r="E9" s="385">
        <v>126205.37</v>
      </c>
      <c r="F9" s="385">
        <v>137926.10999999999</v>
      </c>
      <c r="G9" s="385">
        <f>('2014-25 ESCTETable D2-annualkWh'!M9*1000)*0.003412+1524</f>
        <v>142238.87603204002</v>
      </c>
      <c r="H9" s="385">
        <f>'[18]Eversource Elect_Table_B'!$X$7</f>
        <v>29441.049828032737</v>
      </c>
      <c r="I9" s="385">
        <f>'[18]Eversource Elect_Table_B'!$X$34</f>
        <v>24682.478796277865</v>
      </c>
      <c r="J9" s="385">
        <f>'[18]Eversource Elect_Table_B'!$X$61</f>
        <v>21167.952818059395</v>
      </c>
      <c r="M9" s="227"/>
      <c r="N9" s="227"/>
      <c r="O9" s="227"/>
    </row>
    <row r="10" spans="1:15" s="1" customFormat="1" ht="18.75" thickBot="1" x14ac:dyDescent="0.3">
      <c r="A10" s="24" t="s">
        <v>43</v>
      </c>
      <c r="B10" s="25"/>
      <c r="C10" s="25"/>
      <c r="D10" s="243" t="s">
        <v>115</v>
      </c>
      <c r="E10" s="385">
        <v>17009.689999999999</v>
      </c>
      <c r="F10" s="385">
        <v>18506.57</v>
      </c>
      <c r="G10" s="385">
        <f>('2014-25 ESCTETable D2-annualkWh'!M10*1000)*0.003412+3262</f>
        <v>17057.679344080003</v>
      </c>
      <c r="H10" s="385">
        <f>'[18]Eversource Elect_Table_B'!$X$8</f>
        <v>13504.87786973129</v>
      </c>
      <c r="I10" s="385">
        <f>'[18]Eversource Elect_Table_B'!$X$35</f>
        <v>11308.753579572765</v>
      </c>
      <c r="J10" s="385">
        <f>'[18]Eversource Elect_Table_B'!$X$62</f>
        <v>10635.743384162644</v>
      </c>
      <c r="M10" s="227"/>
      <c r="N10" s="227"/>
      <c r="O10" s="227"/>
    </row>
    <row r="11" spans="1:15" s="1" customFormat="1" ht="37.5" customHeight="1" thickBot="1" x14ac:dyDescent="0.3">
      <c r="A11" s="24" t="s">
        <v>43</v>
      </c>
      <c r="B11" s="25"/>
      <c r="C11" s="25"/>
      <c r="D11" s="279" t="s">
        <v>419</v>
      </c>
      <c r="E11" s="385">
        <v>157015.74</v>
      </c>
      <c r="F11" s="385">
        <v>111579.18</v>
      </c>
      <c r="G11" s="385">
        <f>('2014-25 ESCTETable D2-annualkWh'!M11*1000)*0.003412+182384</f>
        <v>222058.53469200002</v>
      </c>
      <c r="H11" s="385">
        <f>'[18]Eversource Elect_Table_B'!$X$9</f>
        <v>122394.75368294056</v>
      </c>
      <c r="I11" s="385">
        <f>'[18]Eversource Elect_Table_B'!$X$36</f>
        <v>70787.104081242433</v>
      </c>
      <c r="J11" s="385">
        <f>'[18]Eversource Elect_Table_B'!$X$63</f>
        <v>71667.334356142586</v>
      </c>
      <c r="N11" s="227"/>
      <c r="O11" s="227"/>
    </row>
    <row r="12" spans="1:15" s="1" customFormat="1" ht="18.75" thickBot="1" x14ac:dyDescent="0.3">
      <c r="A12" s="24"/>
      <c r="B12" s="25"/>
      <c r="C12" s="25"/>
      <c r="D12" s="279" t="s">
        <v>520</v>
      </c>
      <c r="E12" s="385">
        <v>27165.71</v>
      </c>
      <c r="F12" s="385">
        <v>121425.01</v>
      </c>
      <c r="G12" s="385">
        <f>('2014-25 ESCTETable D2-annualkWh'!M12*1000)*0.003412+98912</f>
        <v>119893.111344</v>
      </c>
      <c r="H12" s="385">
        <f>'[18]Eversource Elect_Table_B'!$X$10</f>
        <v>100448.68295609718</v>
      </c>
      <c r="I12" s="385">
        <f>'[18]Eversource Elect_Table_B'!$X$37</f>
        <v>95251.658419325628</v>
      </c>
      <c r="J12" s="385">
        <f>'[18]Eversource Elect_Table_B'!$X$64</f>
        <v>110379.8928890698</v>
      </c>
      <c r="M12" s="231"/>
      <c r="N12" s="227"/>
      <c r="O12" s="227"/>
    </row>
    <row r="13" spans="1:15" ht="22.5" customHeight="1" thickBot="1" x14ac:dyDescent="0.3">
      <c r="A13" s="27" t="s">
        <v>43</v>
      </c>
      <c r="B13" s="26"/>
      <c r="C13" s="26"/>
      <c r="D13" s="577" t="s">
        <v>276</v>
      </c>
      <c r="E13" s="385">
        <v>77184.69</v>
      </c>
      <c r="F13" s="385">
        <v>52659.32</v>
      </c>
      <c r="G13" s="385">
        <f>('2014-25 ESCTETable D2-annualkWh'!M13*1000)*0.003412+35385</f>
        <v>57551.058000000005</v>
      </c>
      <c r="H13" s="385">
        <f>'[18]Eversource Elect_Table_B'!$X$11</f>
        <v>53358.297186047108</v>
      </c>
      <c r="I13" s="385">
        <f>'[18]Eversource Elect_Table_B'!$X$38</f>
        <v>38233.019962613347</v>
      </c>
      <c r="J13" s="385">
        <f>'[18]Eversource Elect_Table_B'!$X$65</f>
        <v>36091.630189806972</v>
      </c>
      <c r="M13" s="230"/>
      <c r="N13" s="227"/>
      <c r="O13" s="227"/>
    </row>
    <row r="14" spans="1:15" ht="18.75" thickBot="1" x14ac:dyDescent="0.3">
      <c r="A14" s="27"/>
      <c r="B14" s="26"/>
      <c r="C14" s="26"/>
      <c r="D14" s="577" t="s">
        <v>140</v>
      </c>
      <c r="E14" s="385">
        <v>41342.61</v>
      </c>
      <c r="F14" s="385">
        <v>0</v>
      </c>
      <c r="G14" s="385">
        <v>0</v>
      </c>
      <c r="H14" s="385">
        <f>'[18]Eversource Elect_Table_B'!$X$12</f>
        <v>2439.58</v>
      </c>
      <c r="I14" s="385">
        <f>'[18]Eversource Elect_Table_B'!$X$39</f>
        <v>2439.58</v>
      </c>
      <c r="J14" s="385">
        <f>'[18]Eversource Elect_Table_B'!$X$66</f>
        <v>2439.58</v>
      </c>
      <c r="M14" s="227"/>
      <c r="N14" s="227"/>
      <c r="O14" s="227"/>
    </row>
    <row r="15" spans="1:15" ht="18.75" thickBot="1" x14ac:dyDescent="0.3">
      <c r="A15" s="26"/>
      <c r="B15" s="26"/>
      <c r="C15" s="26"/>
      <c r="D15" s="245" t="s">
        <v>291</v>
      </c>
      <c r="E15" s="384">
        <f t="shared" ref="E15:J15" si="0">SUM(E9:E14)</f>
        <v>445923.81</v>
      </c>
      <c r="F15" s="384">
        <f t="shared" si="0"/>
        <v>442096.19</v>
      </c>
      <c r="G15" s="384">
        <f t="shared" si="0"/>
        <v>558799.25941211998</v>
      </c>
      <c r="H15" s="384">
        <f t="shared" si="0"/>
        <v>321587.2415228489</v>
      </c>
      <c r="I15" s="384">
        <f t="shared" si="0"/>
        <v>242702.59483903204</v>
      </c>
      <c r="J15" s="384">
        <f t="shared" si="0"/>
        <v>252382.13363724141</v>
      </c>
      <c r="M15" s="227"/>
      <c r="N15" s="227"/>
      <c r="O15" s="227"/>
    </row>
    <row r="16" spans="1:15" ht="21.75" customHeight="1" thickBot="1" x14ac:dyDescent="0.3">
      <c r="A16" s="28"/>
      <c r="B16" s="26"/>
      <c r="C16" s="26"/>
      <c r="D16" s="956" t="s">
        <v>16</v>
      </c>
      <c r="E16" s="956"/>
      <c r="F16" s="956"/>
      <c r="G16" s="956"/>
      <c r="H16" s="952"/>
      <c r="I16" s="952"/>
      <c r="J16" s="952"/>
      <c r="M16" s="227"/>
      <c r="N16" s="227"/>
      <c r="O16" s="227"/>
    </row>
    <row r="17" spans="1:15" ht="21" customHeight="1" thickBot="1" x14ac:dyDescent="0.3">
      <c r="A17" s="29" t="s">
        <v>44</v>
      </c>
      <c r="B17" s="26"/>
      <c r="C17" s="26"/>
      <c r="D17" s="296" t="s">
        <v>163</v>
      </c>
      <c r="E17" s="382">
        <v>87520.6</v>
      </c>
      <c r="F17" s="382">
        <v>66263.06</v>
      </c>
      <c r="G17" s="385">
        <f>('2014-25 ESCTETable D2-annualkWh'!M17*1000)*0.003412</f>
        <v>88044.735631999996</v>
      </c>
      <c r="H17" s="382">
        <f>'[18]Eversource Elect_Table_B'!$X$15</f>
        <v>81218.502638458594</v>
      </c>
      <c r="I17" s="382">
        <f>'[18]Eversource Elect_Table_B'!$X$42</f>
        <v>58665.594917356648</v>
      </c>
      <c r="J17" s="382">
        <f>'[18]Eversource Elect_Table_B'!$X$69</f>
        <v>54286.497540503726</v>
      </c>
      <c r="M17" s="227"/>
      <c r="N17" s="227"/>
      <c r="O17" s="227"/>
    </row>
    <row r="18" spans="1:15" ht="25.5" customHeight="1" thickBot="1" x14ac:dyDescent="0.3">
      <c r="A18" s="29" t="s">
        <v>44</v>
      </c>
      <c r="B18" s="26"/>
      <c r="C18" s="26"/>
      <c r="D18" s="577" t="s">
        <v>160</v>
      </c>
      <c r="E18" s="385">
        <v>433039.53</v>
      </c>
      <c r="F18" s="385">
        <v>345437.1</v>
      </c>
      <c r="G18" s="385">
        <f>('2014-25 ESCTETable D2-annualkWh'!M18*1000)*0.003412</f>
        <v>341787.38262400002</v>
      </c>
      <c r="H18" s="382">
        <f>'[18]Eversource Elect_Table_B'!$X$16</f>
        <v>212600.52135159765</v>
      </c>
      <c r="I18" s="382">
        <f>'[18]Eversource Elect_Table_B'!$X$43</f>
        <v>189885.99320678914</v>
      </c>
      <c r="J18" s="382">
        <f>'[18]Eversource Elect_Table_B'!$X$70</f>
        <v>185914.94305653591</v>
      </c>
      <c r="M18" s="227"/>
      <c r="N18" s="227"/>
      <c r="O18" s="227"/>
    </row>
    <row r="19" spans="1:15" ht="36.75" thickBot="1" x14ac:dyDescent="0.3">
      <c r="A19" s="29" t="s">
        <v>44</v>
      </c>
      <c r="B19" s="26"/>
      <c r="C19" s="26"/>
      <c r="D19" s="279" t="s">
        <v>411</v>
      </c>
      <c r="E19" s="385">
        <v>18312.23</v>
      </c>
      <c r="F19" s="385">
        <v>9212.02</v>
      </c>
      <c r="G19" s="385">
        <f>('2014-25 ESCTETable D2-annualkWh'!M19*1000)*0.003412</f>
        <v>11916.249636</v>
      </c>
      <c r="H19" s="382">
        <f>'[18]Eversource Elect_Table_B'!$X$17</f>
        <v>31657.306965739055</v>
      </c>
      <c r="I19" s="382">
        <f>'[18]Eversource Elect_Table_B'!$X$44</f>
        <v>28963.389502368329</v>
      </c>
      <c r="J19" s="382">
        <f>'[18]Eversource Elect_Table_B'!$X$71</f>
        <v>34084.225735245709</v>
      </c>
      <c r="M19" s="227"/>
      <c r="N19" s="227"/>
      <c r="O19" s="227"/>
    </row>
    <row r="20" spans="1:15" ht="21.75" customHeight="1" thickBot="1" x14ac:dyDescent="0.3">
      <c r="A20" s="29" t="s">
        <v>44</v>
      </c>
      <c r="B20" s="26"/>
      <c r="C20" s="26"/>
      <c r="D20" s="577" t="s">
        <v>117</v>
      </c>
      <c r="E20" s="385">
        <v>84685.23</v>
      </c>
      <c r="F20" s="385">
        <v>33400.1</v>
      </c>
      <c r="G20" s="385">
        <f>('2014-25 ESCTETable D2-annualkWh'!M20*1000)*0.003412</f>
        <v>49748.246324</v>
      </c>
      <c r="H20" s="382">
        <f>'[18]Eversource Elect_Table_B'!$X$18</f>
        <v>84114.829377887756</v>
      </c>
      <c r="I20" s="382">
        <f>'[18]Eversource Elect_Table_B'!$X$45</f>
        <v>67227.01995770137</v>
      </c>
      <c r="J20" s="382">
        <f>'[18]Eversource Elect_Table_B'!$X$72</f>
        <v>66799.372209193127</v>
      </c>
      <c r="M20" s="227"/>
      <c r="N20" s="227"/>
      <c r="O20" s="227"/>
    </row>
    <row r="21" spans="1:15" s="1" customFormat="1" ht="18.75" thickBot="1" x14ac:dyDescent="0.3">
      <c r="A21" s="30"/>
      <c r="B21" s="31"/>
      <c r="C21" s="31"/>
      <c r="D21" s="259" t="s">
        <v>277</v>
      </c>
      <c r="E21" s="384">
        <f t="shared" ref="E21:J21" si="1">SUM(E17:E20)</f>
        <v>623557.59</v>
      </c>
      <c r="F21" s="384">
        <f t="shared" si="1"/>
        <v>454312.27999999997</v>
      </c>
      <c r="G21" s="384">
        <f t="shared" si="1"/>
        <v>491496.61421600002</v>
      </c>
      <c r="H21" s="384">
        <f t="shared" si="1"/>
        <v>409591.16033368307</v>
      </c>
      <c r="I21" s="384">
        <f t="shared" si="1"/>
        <v>344741.99758421548</v>
      </c>
      <c r="J21" s="384">
        <f t="shared" si="1"/>
        <v>341085.03854147851</v>
      </c>
      <c r="M21" s="227"/>
      <c r="N21" s="227"/>
      <c r="O21" s="227"/>
    </row>
    <row r="22" spans="1:15" s="7" customFormat="1" ht="18.75" hidden="1" thickBot="1" x14ac:dyDescent="0.3">
      <c r="A22" s="33"/>
      <c r="B22" s="34"/>
      <c r="C22" s="34"/>
      <c r="D22" s="376" t="s">
        <v>25</v>
      </c>
      <c r="E22" s="387">
        <f t="shared" ref="E22:J22" si="2">E15</f>
        <v>445923.81</v>
      </c>
      <c r="F22" s="387">
        <f t="shared" si="2"/>
        <v>442096.19</v>
      </c>
      <c r="G22" s="387">
        <f t="shared" si="2"/>
        <v>558799.25941211998</v>
      </c>
      <c r="H22" s="387">
        <f t="shared" si="2"/>
        <v>321587.2415228489</v>
      </c>
      <c r="I22" s="387">
        <f t="shared" si="2"/>
        <v>242702.59483903204</v>
      </c>
      <c r="J22" s="387">
        <f t="shared" si="2"/>
        <v>252382.13363724141</v>
      </c>
      <c r="M22" s="227"/>
      <c r="N22" s="227"/>
      <c r="O22" s="227"/>
    </row>
    <row r="23" spans="1:15" s="7" customFormat="1" ht="18.75" hidden="1" thickBot="1" x14ac:dyDescent="0.3">
      <c r="A23" s="33"/>
      <c r="B23" s="34"/>
      <c r="C23" s="34"/>
      <c r="D23" s="376" t="s">
        <v>26</v>
      </c>
      <c r="E23" s="387">
        <f t="shared" ref="E23:J23" si="3">E21</f>
        <v>623557.59</v>
      </c>
      <c r="F23" s="387">
        <f t="shared" si="3"/>
        <v>454312.27999999997</v>
      </c>
      <c r="G23" s="387">
        <f t="shared" si="3"/>
        <v>491496.61421600002</v>
      </c>
      <c r="H23" s="387">
        <f t="shared" si="3"/>
        <v>409591.16033368307</v>
      </c>
      <c r="I23" s="387">
        <f t="shared" si="3"/>
        <v>344741.99758421548</v>
      </c>
      <c r="J23" s="387">
        <f t="shared" si="3"/>
        <v>341085.03854147851</v>
      </c>
      <c r="M23" s="227"/>
      <c r="N23" s="227"/>
      <c r="O23" s="227"/>
    </row>
    <row r="24" spans="1:15" s="7" customFormat="1" ht="18.75" thickBot="1" x14ac:dyDescent="0.3">
      <c r="A24" s="28"/>
      <c r="B24" s="26"/>
      <c r="C24" s="26"/>
      <c r="D24" s="376" t="s">
        <v>424</v>
      </c>
      <c r="E24" s="384">
        <f t="shared" ref="E24:J24" si="4">SUM(E22:E23)</f>
        <v>1069481.3999999999</v>
      </c>
      <c r="F24" s="384">
        <f t="shared" si="4"/>
        <v>896408.47</v>
      </c>
      <c r="G24" s="384">
        <f t="shared" si="4"/>
        <v>1050295.8736281199</v>
      </c>
      <c r="H24" s="384">
        <f t="shared" si="4"/>
        <v>731178.40185653197</v>
      </c>
      <c r="I24" s="384">
        <f t="shared" si="4"/>
        <v>587444.59242324752</v>
      </c>
      <c r="J24" s="384">
        <f t="shared" si="4"/>
        <v>593467.17217871989</v>
      </c>
      <c r="M24" s="227"/>
      <c r="N24" s="227"/>
      <c r="O24" s="227"/>
    </row>
    <row r="25" spans="1:15" ht="7.5" customHeight="1" x14ac:dyDescent="0.25">
      <c r="A25" s="35"/>
      <c r="B25" s="35"/>
      <c r="C25" s="35"/>
      <c r="D25" s="66"/>
      <c r="E25" s="11"/>
      <c r="F25" s="11"/>
      <c r="G25" s="11"/>
      <c r="H25" s="11"/>
      <c r="I25" s="11"/>
      <c r="J25" s="11"/>
    </row>
    <row r="26" spans="1:15" ht="15" x14ac:dyDescent="0.25">
      <c r="A26" s="35"/>
      <c r="B26" s="35"/>
      <c r="C26" s="35"/>
      <c r="D26" s="67"/>
      <c r="E26" s="89"/>
      <c r="F26" s="89" t="s">
        <v>13</v>
      </c>
      <c r="G26" s="89" t="s">
        <v>13</v>
      </c>
      <c r="H26" s="89"/>
      <c r="I26" s="89"/>
      <c r="J26" s="89"/>
    </row>
    <row r="27" spans="1:15" ht="15.75" x14ac:dyDescent="0.25">
      <c r="A27" s="35"/>
      <c r="B27" s="35"/>
      <c r="C27" s="35"/>
      <c r="D27" s="87"/>
      <c r="E27" s="89"/>
      <c r="F27" s="89"/>
      <c r="G27" s="89"/>
      <c r="H27" s="89"/>
      <c r="I27" s="89"/>
      <c r="J27" s="89"/>
    </row>
    <row r="28" spans="1:15" ht="15.75" x14ac:dyDescent="0.25">
      <c r="A28" s="35"/>
      <c r="B28" s="35"/>
      <c r="C28" s="35"/>
      <c r="D28" s="87"/>
      <c r="E28" s="89"/>
      <c r="F28" s="89"/>
      <c r="G28" s="89" t="s">
        <v>13</v>
      </c>
      <c r="H28" s="89"/>
      <c r="I28" s="89"/>
      <c r="J28" s="89"/>
    </row>
    <row r="29" spans="1:15" ht="15.75" x14ac:dyDescent="0.25">
      <c r="A29" s="35"/>
      <c r="B29" s="35"/>
      <c r="C29" s="35"/>
      <c r="D29" s="87"/>
      <c r="E29" s="66"/>
      <c r="F29" s="66"/>
      <c r="G29" s="66"/>
      <c r="H29" s="66"/>
      <c r="I29" s="66"/>
      <c r="J29" s="66"/>
    </row>
    <row r="30" spans="1:15" ht="15.75" x14ac:dyDescent="0.25">
      <c r="A30" s="35"/>
      <c r="B30" s="35"/>
      <c r="C30" s="35"/>
      <c r="D30" s="87"/>
      <c r="E30" s="89"/>
      <c r="F30" s="89"/>
      <c r="G30" s="89"/>
      <c r="H30" s="89"/>
      <c r="I30" s="89"/>
      <c r="J30" s="89"/>
    </row>
    <row r="31" spans="1:15" ht="15.75" x14ac:dyDescent="0.25">
      <c r="A31" s="35"/>
      <c r="B31" s="35"/>
      <c r="C31" s="35"/>
      <c r="D31" s="87"/>
      <c r="E31" s="66"/>
      <c r="F31" s="66"/>
      <c r="G31" s="66"/>
      <c r="H31" s="66"/>
      <c r="I31" s="66"/>
      <c r="J31" s="66"/>
    </row>
    <row r="32" spans="1:15" ht="15.75" x14ac:dyDescent="0.25">
      <c r="A32" s="35"/>
      <c r="B32" s="35"/>
      <c r="C32" s="35"/>
      <c r="D32" s="87"/>
      <c r="E32" s="66"/>
      <c r="F32" s="66"/>
      <c r="G32" s="66"/>
      <c r="H32" s="66"/>
      <c r="I32" s="66"/>
      <c r="J32" s="66"/>
    </row>
    <row r="33" spans="1:10" ht="15.75" x14ac:dyDescent="0.25">
      <c r="A33" s="35"/>
      <c r="B33" s="35"/>
      <c r="C33" s="35"/>
      <c r="D33" s="87"/>
      <c r="E33" s="66"/>
      <c r="F33" s="66"/>
      <c r="G33" s="66"/>
      <c r="H33" s="66"/>
      <c r="I33" s="66"/>
      <c r="J33" s="66"/>
    </row>
    <row r="34" spans="1:10" ht="15.75" x14ac:dyDescent="0.25">
      <c r="A34" s="3"/>
      <c r="B34" s="36"/>
      <c r="C34" s="36"/>
      <c r="D34" s="87"/>
      <c r="E34" s="41"/>
      <c r="F34" s="41"/>
      <c r="G34" s="41"/>
      <c r="H34" s="41"/>
      <c r="I34" s="41"/>
      <c r="J34" s="41"/>
    </row>
    <row r="35" spans="1:10" ht="15.75" x14ac:dyDescent="0.25">
      <c r="A35" s="3"/>
      <c r="B35" s="3"/>
      <c r="C35" s="3"/>
      <c r="D35" s="87"/>
      <c r="E35" s="41"/>
      <c r="F35" s="41"/>
      <c r="G35" s="41"/>
      <c r="H35" s="41"/>
      <c r="I35" s="41"/>
      <c r="J35" s="41"/>
    </row>
    <row r="36" spans="1:10" ht="15" x14ac:dyDescent="0.2">
      <c r="A36" s="3"/>
      <c r="B36" s="3"/>
      <c r="C36" s="3"/>
      <c r="D36" s="2"/>
    </row>
    <row r="37" spans="1:10" ht="15" x14ac:dyDescent="0.2">
      <c r="A37" s="3"/>
      <c r="B37" s="3"/>
      <c r="C37" s="3"/>
      <c r="D37" s="2"/>
    </row>
    <row r="38" spans="1:10" ht="15" x14ac:dyDescent="0.2">
      <c r="A38" s="3"/>
      <c r="B38" s="3"/>
      <c r="C38" s="3"/>
      <c r="D38" s="5"/>
    </row>
    <row r="39" spans="1:10" ht="15" x14ac:dyDescent="0.2">
      <c r="A39" s="3"/>
      <c r="B39" s="3"/>
      <c r="C39" s="3"/>
      <c r="D39" s="5"/>
    </row>
  </sheetData>
  <mergeCells count="5">
    <mergeCell ref="D2:J2"/>
    <mergeCell ref="D3:J3"/>
    <mergeCell ref="H4:J4"/>
    <mergeCell ref="D8:J8"/>
    <mergeCell ref="D16:J16"/>
  </mergeCells>
  <printOptions horizontalCentered="1"/>
  <pageMargins left="0.5" right="0.5" top="0.75" bottom="0.75" header="0.5" footer="0.25"/>
  <pageSetup scale="52"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742D-F906-4A02-A5B7-9C0242EDE8BE}">
  <sheetPr>
    <tabColor theme="9" tint="0.39997558519241921"/>
    <pageSetUpPr fitToPage="1"/>
  </sheetPr>
  <dimension ref="A1:O39"/>
  <sheetViews>
    <sheetView showGridLines="0" topLeftCell="C1" zoomScale="70" zoomScaleNormal="70" workbookViewId="0">
      <pane xSplit="2" topLeftCell="E1" activePane="topRight" state="frozen"/>
      <selection activeCell="D110" sqref="D110:I114"/>
      <selection pane="topRight" activeCell="U36" sqref="U36"/>
    </sheetView>
  </sheetViews>
  <sheetFormatPr defaultRowHeight="12.75" x14ac:dyDescent="0.2"/>
  <cols>
    <col min="1" max="1" width="4" hidden="1" customWidth="1"/>
    <col min="2" max="2" width="4.28515625" hidden="1" customWidth="1"/>
    <col min="3" max="3" width="4.28515625" customWidth="1"/>
    <col min="4" max="4" width="63.7109375" customWidth="1"/>
    <col min="5" max="5" width="16.140625" customWidth="1"/>
    <col min="6" max="6" width="18.85546875" customWidth="1"/>
    <col min="7" max="7" width="16.28515625" customWidth="1"/>
    <col min="8" max="10" width="14.7109375" customWidth="1"/>
    <col min="13" max="14" width="9.42578125" bestFit="1" customWidth="1"/>
  </cols>
  <sheetData>
    <row r="1" spans="1:15" x14ac:dyDescent="0.2">
      <c r="E1" s="4"/>
      <c r="F1" s="4"/>
      <c r="G1" s="4"/>
      <c r="H1" s="4"/>
      <c r="I1" s="4"/>
      <c r="J1" s="4"/>
    </row>
    <row r="2" spans="1:15" ht="21" customHeight="1" x14ac:dyDescent="0.35">
      <c r="A2" s="4"/>
      <c r="B2" s="4"/>
      <c r="C2" s="4"/>
      <c r="D2" s="869" t="s">
        <v>443</v>
      </c>
      <c r="E2" s="869"/>
      <c r="F2" s="869"/>
      <c r="G2" s="869"/>
      <c r="H2" s="955"/>
      <c r="I2" s="955"/>
      <c r="J2" s="955"/>
    </row>
    <row r="3" spans="1:15" ht="21" customHeight="1" x14ac:dyDescent="0.35">
      <c r="A3" s="4"/>
      <c r="B3" s="4"/>
      <c r="C3" s="4"/>
      <c r="D3" s="950" t="s">
        <v>442</v>
      </c>
      <c r="E3" s="950"/>
      <c r="F3" s="950"/>
      <c r="G3" s="950"/>
      <c r="H3" s="955"/>
      <c r="I3" s="955"/>
      <c r="J3" s="955"/>
    </row>
    <row r="4" spans="1:15" ht="24" customHeight="1" thickBot="1" x14ac:dyDescent="0.3">
      <c r="A4" s="4"/>
      <c r="B4" s="23"/>
      <c r="C4" s="23"/>
      <c r="D4" s="41"/>
      <c r="E4" s="41"/>
      <c r="F4" s="41"/>
      <c r="G4" s="41"/>
      <c r="H4" s="953"/>
      <c r="I4" s="954"/>
      <c r="J4" s="954"/>
    </row>
    <row r="5" spans="1:15" ht="24" customHeight="1" x14ac:dyDescent="0.25">
      <c r="A5" s="4"/>
      <c r="D5" s="392"/>
      <c r="E5" s="293"/>
      <c r="F5" s="293"/>
      <c r="G5" s="293"/>
      <c r="H5" s="293"/>
      <c r="I5" s="293"/>
      <c r="J5" s="293"/>
    </row>
    <row r="6" spans="1:15" ht="18" customHeight="1" x14ac:dyDescent="0.25">
      <c r="A6" s="4"/>
      <c r="B6" s="23"/>
      <c r="C6" s="23"/>
      <c r="D6" s="256"/>
      <c r="E6" s="256">
        <v>2019</v>
      </c>
      <c r="F6" s="256">
        <v>2020</v>
      </c>
      <c r="G6" s="256">
        <v>2021</v>
      </c>
      <c r="H6" s="256">
        <v>2022</v>
      </c>
      <c r="I6" s="256">
        <v>2023</v>
      </c>
      <c r="J6" s="256">
        <v>2024</v>
      </c>
    </row>
    <row r="7" spans="1:15" ht="17.25" customHeight="1" thickBot="1" x14ac:dyDescent="0.3">
      <c r="A7" s="15"/>
      <c r="B7" s="15"/>
      <c r="C7" s="15"/>
      <c r="D7" s="390"/>
      <c r="E7" s="391" t="s">
        <v>98</v>
      </c>
      <c r="F7" s="391" t="s">
        <v>98</v>
      </c>
      <c r="G7" s="391" t="s">
        <v>98</v>
      </c>
      <c r="H7" s="391" t="s">
        <v>269</v>
      </c>
      <c r="I7" s="391" t="s">
        <v>269</v>
      </c>
      <c r="J7" s="391" t="s">
        <v>269</v>
      </c>
    </row>
    <row r="8" spans="1:15" ht="21.75" customHeight="1" thickBot="1" x14ac:dyDescent="0.3">
      <c r="A8" s="15"/>
      <c r="B8" s="15"/>
      <c r="C8" s="15"/>
      <c r="D8" s="957" t="s">
        <v>15</v>
      </c>
      <c r="E8" s="957"/>
      <c r="F8" s="957"/>
      <c r="G8" s="957"/>
      <c r="H8" s="952"/>
      <c r="I8" s="952"/>
      <c r="J8" s="952"/>
    </row>
    <row r="9" spans="1:15" s="7" customFormat="1" ht="18.75" thickBot="1" x14ac:dyDescent="0.3">
      <c r="A9" s="24" t="s">
        <v>43</v>
      </c>
      <c r="B9" s="25"/>
      <c r="C9" s="25"/>
      <c r="D9" s="577" t="s">
        <v>165</v>
      </c>
      <c r="E9" s="385">
        <v>674119.6</v>
      </c>
      <c r="F9" s="385">
        <v>615860.86</v>
      </c>
      <c r="G9" s="385">
        <f>('2014-24 ESCTETable D3-lftimekWh'!M8*1000)*0.003412+16771</f>
        <v>524022.51619780005</v>
      </c>
      <c r="H9" s="385">
        <f>'[18]Eversource Elect_Table_B'!$Y$7</f>
        <v>199853.56081326443</v>
      </c>
      <c r="I9" s="385">
        <f>'[18]Eversource Elect_Table_B'!$Y$34</f>
        <v>239168.1515008251</v>
      </c>
      <c r="J9" s="385">
        <f>'[18]Eversource Elect_Table_B'!$Y$61</f>
        <v>215461.64078032237</v>
      </c>
      <c r="M9" s="227"/>
      <c r="N9" s="227"/>
      <c r="O9" s="227"/>
    </row>
    <row r="10" spans="1:15" s="1" customFormat="1" ht="18.75" thickBot="1" x14ac:dyDescent="0.3">
      <c r="A10" s="24" t="s">
        <v>43</v>
      </c>
      <c r="B10" s="25"/>
      <c r="C10" s="25"/>
      <c r="D10" s="243" t="s">
        <v>115</v>
      </c>
      <c r="E10" s="385">
        <v>328015.52</v>
      </c>
      <c r="F10" s="385">
        <v>325377.95</v>
      </c>
      <c r="G10" s="385">
        <f>('2014-24 ESCTETable D3-lftimekWh'!M9*1000)*0.003412+81556</f>
        <v>303224.755152</v>
      </c>
      <c r="H10" s="385">
        <f>'[18]Eversource Elect_Table_B'!$Y$8</f>
        <v>271774.03755868488</v>
      </c>
      <c r="I10" s="385">
        <f>'[18]Eversource Elect_Table_B'!$Y$35</f>
        <v>232804.26237143553</v>
      </c>
      <c r="J10" s="385">
        <f>'[18]Eversource Elect_Table_B'!$Y$62</f>
        <v>224138.6081103521</v>
      </c>
      <c r="M10" s="227"/>
      <c r="N10" s="227"/>
      <c r="O10" s="227"/>
    </row>
    <row r="11" spans="1:15" s="1" customFormat="1" ht="37.5" customHeight="1" thickBot="1" x14ac:dyDescent="0.3">
      <c r="A11" s="24" t="s">
        <v>43</v>
      </c>
      <c r="B11" s="25"/>
      <c r="C11" s="25"/>
      <c r="D11" s="279" t="s">
        <v>419</v>
      </c>
      <c r="E11" s="385">
        <v>2544409.2799999998</v>
      </c>
      <c r="F11" s="385">
        <v>1904383.78</v>
      </c>
      <c r="G11" s="385">
        <f>('2014-24 ESCTETable D3-lftimekWh'!M10*1000)*0.003412+4122120</f>
        <v>4609095.7140112799</v>
      </c>
      <c r="H11" s="385">
        <f>'[18]Eversource Elect_Table_B'!$Y$9</f>
        <v>2334313.5983647685</v>
      </c>
      <c r="I11" s="385">
        <f>'[18]Eversource Elect_Table_B'!$Y$36</f>
        <v>1323757.1477253512</v>
      </c>
      <c r="J11" s="385">
        <f>'[18]Eversource Elect_Table_B'!$Y$63</f>
        <v>1324107.8391429977</v>
      </c>
      <c r="N11" s="227"/>
      <c r="O11" s="227"/>
    </row>
    <row r="12" spans="1:15" s="1" customFormat="1" ht="18.75" thickBot="1" x14ac:dyDescent="0.3">
      <c r="A12" s="24"/>
      <c r="B12" s="25"/>
      <c r="C12" s="25"/>
      <c r="D12" s="279" t="s">
        <v>520</v>
      </c>
      <c r="E12" s="385">
        <v>454801.28</v>
      </c>
      <c r="F12" s="385">
        <v>2340805.81</v>
      </c>
      <c r="G12" s="385">
        <f>('2014-24 ESCTETable D3-lftimekWh'!M11*1000)*0.003412+1467509</f>
        <v>1803653.54428016</v>
      </c>
      <c r="H12" s="385">
        <f>'[18]Eversource Elect_Table_B'!$Y$10</f>
        <v>1509268.0275387687</v>
      </c>
      <c r="I12" s="385">
        <f>'[18]Eversource Elect_Table_B'!$Y$37</f>
        <v>1620716.7750460124</v>
      </c>
      <c r="J12" s="385">
        <f>'[18]Eversource Elect_Table_B'!$Y$64</f>
        <v>1885617.5443108804</v>
      </c>
      <c r="M12" s="231"/>
      <c r="N12" s="227"/>
      <c r="O12" s="227"/>
    </row>
    <row r="13" spans="1:15" ht="22.5" customHeight="1" thickBot="1" x14ac:dyDescent="0.3">
      <c r="A13" s="27" t="s">
        <v>43</v>
      </c>
      <c r="B13" s="26"/>
      <c r="C13" s="26"/>
      <c r="D13" s="577" t="s">
        <v>276</v>
      </c>
      <c r="E13" s="385">
        <v>1262623.57</v>
      </c>
      <c r="F13" s="385">
        <v>794589.68</v>
      </c>
      <c r="G13" s="385">
        <f>('2014-24 ESCTETable D3-lftimekWh'!M12*1000)*0.003412+754724</f>
        <v>1033081.180076</v>
      </c>
      <c r="H13" s="385">
        <f>'[18]Eversource Elect_Table_B'!$Y$11</f>
        <v>938644.49277805607</v>
      </c>
      <c r="I13" s="385">
        <f>'[18]Eversource Elect_Table_B'!$Y$38</f>
        <v>657836.1844572135</v>
      </c>
      <c r="J13" s="385">
        <f>'[18]Eversource Elect_Table_B'!$Y$65</f>
        <v>627506.04833069758</v>
      </c>
      <c r="M13" s="230"/>
      <c r="N13" s="227"/>
      <c r="O13" s="227"/>
    </row>
    <row r="14" spans="1:15" ht="18.75" thickBot="1" x14ac:dyDescent="0.3">
      <c r="A14" s="27"/>
      <c r="B14" s="26"/>
      <c r="C14" s="26"/>
      <c r="D14" s="577" t="s">
        <v>140</v>
      </c>
      <c r="E14" s="385">
        <v>106789.96</v>
      </c>
      <c r="F14" s="385">
        <v>0</v>
      </c>
      <c r="G14" s="385">
        <v>0</v>
      </c>
      <c r="H14" s="385">
        <f>'[18]Eversource Elect_Table_B'!$Y$12</f>
        <v>2439.58</v>
      </c>
      <c r="I14" s="385">
        <f>'[18]Eversource Elect_Table_B'!$Y$39</f>
        <v>4879.16</v>
      </c>
      <c r="J14" s="385">
        <f>'[18]Eversource Elect_Table_B'!$Y$66</f>
        <v>4879.16</v>
      </c>
      <c r="M14" s="227"/>
      <c r="N14" s="227"/>
      <c r="O14" s="227"/>
    </row>
    <row r="15" spans="1:15" ht="18.75" thickBot="1" x14ac:dyDescent="0.3">
      <c r="A15" s="26"/>
      <c r="B15" s="26"/>
      <c r="C15" s="26"/>
      <c r="D15" s="245" t="s">
        <v>291</v>
      </c>
      <c r="E15" s="384">
        <f t="shared" ref="E15:J15" si="0">SUM(E9:E14)</f>
        <v>5370759.21</v>
      </c>
      <c r="F15" s="384">
        <f t="shared" si="0"/>
        <v>5981018.0800000001</v>
      </c>
      <c r="G15" s="384">
        <f t="shared" si="0"/>
        <v>8273077.7097172402</v>
      </c>
      <c r="H15" s="384">
        <f t="shared" si="0"/>
        <v>5256293.2970535429</v>
      </c>
      <c r="I15" s="384">
        <f t="shared" si="0"/>
        <v>4079161.6811008379</v>
      </c>
      <c r="J15" s="384">
        <f t="shared" si="0"/>
        <v>4281710.8406752497</v>
      </c>
      <c r="M15" s="227"/>
      <c r="N15" s="227"/>
      <c r="O15" s="227"/>
    </row>
    <row r="16" spans="1:15" ht="21.75" customHeight="1" thickBot="1" x14ac:dyDescent="0.3">
      <c r="A16" s="28"/>
      <c r="B16" s="26"/>
      <c r="C16" s="26"/>
      <c r="D16" s="956" t="s">
        <v>16</v>
      </c>
      <c r="E16" s="956"/>
      <c r="F16" s="956"/>
      <c r="G16" s="956"/>
      <c r="H16" s="952"/>
      <c r="I16" s="952"/>
      <c r="J16" s="952"/>
      <c r="M16" s="227"/>
      <c r="N16" s="227"/>
      <c r="O16" s="227"/>
    </row>
    <row r="17" spans="1:15" ht="21" customHeight="1" thickBot="1" x14ac:dyDescent="0.3">
      <c r="A17" s="29" t="s">
        <v>44</v>
      </c>
      <c r="B17" s="26"/>
      <c r="C17" s="26"/>
      <c r="D17" s="296" t="s">
        <v>163</v>
      </c>
      <c r="E17" s="382">
        <v>1329104.1499999999</v>
      </c>
      <c r="F17" s="382">
        <v>978834.02</v>
      </c>
      <c r="G17" s="385">
        <f>('2014-24 ESCTETable D3-lftimekWh'!M16*1000)*0.003412</f>
        <v>1289735.5658571201</v>
      </c>
      <c r="H17" s="382">
        <f>'[18]Eversource Elect_Table_B'!$Y$15</f>
        <v>1131625.767702329</v>
      </c>
      <c r="I17" s="382">
        <f>'[18]Eversource Elect_Table_B'!$Y$42</f>
        <v>824467.32898879249</v>
      </c>
      <c r="J17" s="382">
        <f>'[18]Eversource Elect_Table_B'!$Y$69</f>
        <v>763715.56889541668</v>
      </c>
      <c r="M17" s="227"/>
      <c r="N17" s="227"/>
      <c r="O17" s="227"/>
    </row>
    <row r="18" spans="1:15" ht="25.5" customHeight="1" thickBot="1" x14ac:dyDescent="0.3">
      <c r="A18" s="29" t="s">
        <v>44</v>
      </c>
      <c r="B18" s="26"/>
      <c r="C18" s="26"/>
      <c r="D18" s="577" t="s">
        <v>160</v>
      </c>
      <c r="E18" s="385">
        <v>4920238.72</v>
      </c>
      <c r="F18" s="385">
        <v>3826982.91</v>
      </c>
      <c r="G18" s="385">
        <f>('2014-24 ESCTETable D3-lftimekWh'!M17*1000)*0.003412</f>
        <v>3787216.8845490799</v>
      </c>
      <c r="H18" s="382">
        <f>'[18]Eversource Elect_Table_B'!$Y$16</f>
        <v>1522777.6618577838</v>
      </c>
      <c r="I18" s="382">
        <f>'[18]Eversource Elect_Table_B'!$Y$43</f>
        <v>1370339.8623332772</v>
      </c>
      <c r="J18" s="382">
        <f>'[18]Eversource Elect_Table_B'!$Y$70</f>
        <v>1389511.1200882595</v>
      </c>
      <c r="M18" s="227"/>
      <c r="N18" s="227"/>
      <c r="O18" s="227"/>
    </row>
    <row r="19" spans="1:15" ht="36.75" thickBot="1" x14ac:dyDescent="0.3">
      <c r="A19" s="29" t="s">
        <v>44</v>
      </c>
      <c r="B19" s="26"/>
      <c r="C19" s="26"/>
      <c r="D19" s="279" t="s">
        <v>411</v>
      </c>
      <c r="E19" s="385">
        <v>106070.48</v>
      </c>
      <c r="F19" s="385">
        <v>58476.62</v>
      </c>
      <c r="G19" s="385">
        <f>('2014-24 ESCTETable D3-lftimekWh'!M18*1000)*0.003412</f>
        <v>71763.611808600006</v>
      </c>
      <c r="H19" s="382">
        <f>'[18]Eversource Elect_Table_B'!$Y$17</f>
        <v>238101.16586247689</v>
      </c>
      <c r="I19" s="382">
        <f>'[18]Eversource Elect_Table_B'!$Y$44</f>
        <v>217841.98373664563</v>
      </c>
      <c r="J19" s="382">
        <f>'[18]Eversource Elect_Table_B'!$Y$71</f>
        <v>256332.5668843989</v>
      </c>
      <c r="M19" s="227"/>
      <c r="N19" s="227"/>
      <c r="O19" s="227"/>
    </row>
    <row r="20" spans="1:15" ht="21.75" customHeight="1" thickBot="1" x14ac:dyDescent="0.3">
      <c r="A20" s="29" t="s">
        <v>44</v>
      </c>
      <c r="B20" s="26"/>
      <c r="C20" s="26"/>
      <c r="D20" s="577" t="s">
        <v>117</v>
      </c>
      <c r="E20" s="385">
        <v>1063854.9099999999</v>
      </c>
      <c r="F20" s="385">
        <v>390937.85</v>
      </c>
      <c r="G20" s="385">
        <f>('2014-24 ESCTETable D3-lftimekWh'!M19*1000)*0.003412</f>
        <v>565822.33930400002</v>
      </c>
      <c r="H20" s="382">
        <f>'[18]Eversource Elect_Table_B'!$Y$18</f>
        <v>673085.21313220891</v>
      </c>
      <c r="I20" s="382">
        <f>'[18]Eversource Elect_Table_B'!$Y$45</f>
        <v>537887.91185336048</v>
      </c>
      <c r="J20" s="382">
        <f>'[18]Eversource Elect_Table_B'!$Y$72</f>
        <v>540189.3509228155</v>
      </c>
      <c r="M20" s="227"/>
      <c r="N20" s="227"/>
      <c r="O20" s="227"/>
    </row>
    <row r="21" spans="1:15" s="1" customFormat="1" ht="18.75" thickBot="1" x14ac:dyDescent="0.3">
      <c r="A21" s="30"/>
      <c r="B21" s="31"/>
      <c r="C21" s="31"/>
      <c r="D21" s="259" t="s">
        <v>277</v>
      </c>
      <c r="E21" s="384">
        <f t="shared" ref="E21:J21" si="1">SUM(E17:E20)</f>
        <v>7419268.2599999998</v>
      </c>
      <c r="F21" s="384">
        <f t="shared" si="1"/>
        <v>5255231.3999999994</v>
      </c>
      <c r="G21" s="384">
        <f t="shared" si="1"/>
        <v>5714538.4015188003</v>
      </c>
      <c r="H21" s="384">
        <f t="shared" si="1"/>
        <v>3565589.8085547984</v>
      </c>
      <c r="I21" s="384">
        <f t="shared" si="1"/>
        <v>2950537.0869120755</v>
      </c>
      <c r="J21" s="384">
        <f t="shared" si="1"/>
        <v>2949748.6067908905</v>
      </c>
      <c r="M21" s="227"/>
      <c r="N21" s="227"/>
      <c r="O21" s="227"/>
    </row>
    <row r="22" spans="1:15" s="7" customFormat="1" ht="18.75" hidden="1" thickBot="1" x14ac:dyDescent="0.3">
      <c r="A22" s="33"/>
      <c r="B22" s="34"/>
      <c r="C22" s="34"/>
      <c r="D22" s="376" t="s">
        <v>25</v>
      </c>
      <c r="E22" s="387">
        <f t="shared" ref="E22:J22" si="2">E15</f>
        <v>5370759.21</v>
      </c>
      <c r="F22" s="387">
        <f t="shared" si="2"/>
        <v>5981018.0800000001</v>
      </c>
      <c r="G22" s="387">
        <f t="shared" si="2"/>
        <v>8273077.7097172402</v>
      </c>
      <c r="H22" s="387">
        <f t="shared" si="2"/>
        <v>5256293.2970535429</v>
      </c>
      <c r="I22" s="387">
        <f t="shared" si="2"/>
        <v>4079161.6811008379</v>
      </c>
      <c r="J22" s="387">
        <f t="shared" si="2"/>
        <v>4281710.8406752497</v>
      </c>
      <c r="M22" s="227"/>
      <c r="N22" s="227"/>
      <c r="O22" s="227"/>
    </row>
    <row r="23" spans="1:15" s="7" customFormat="1" ht="18.75" hidden="1" thickBot="1" x14ac:dyDescent="0.3">
      <c r="A23" s="33"/>
      <c r="B23" s="34"/>
      <c r="C23" s="34"/>
      <c r="D23" s="376" t="s">
        <v>26</v>
      </c>
      <c r="E23" s="387">
        <f t="shared" ref="E23:J23" si="3">E21</f>
        <v>7419268.2599999998</v>
      </c>
      <c r="F23" s="387">
        <f t="shared" si="3"/>
        <v>5255231.3999999994</v>
      </c>
      <c r="G23" s="387">
        <f t="shared" si="3"/>
        <v>5714538.4015188003</v>
      </c>
      <c r="H23" s="387">
        <f t="shared" si="3"/>
        <v>3565589.8085547984</v>
      </c>
      <c r="I23" s="387">
        <f t="shared" si="3"/>
        <v>2950537.0869120755</v>
      </c>
      <c r="J23" s="387">
        <f t="shared" si="3"/>
        <v>2949748.6067908905</v>
      </c>
      <c r="M23" s="227"/>
      <c r="N23" s="227"/>
      <c r="O23" s="227"/>
    </row>
    <row r="24" spans="1:15" s="7" customFormat="1" ht="18.75" thickBot="1" x14ac:dyDescent="0.3">
      <c r="A24" s="28"/>
      <c r="B24" s="26"/>
      <c r="C24" s="26"/>
      <c r="D24" s="376" t="s">
        <v>424</v>
      </c>
      <c r="E24" s="384">
        <f t="shared" ref="E24:J24" si="4">SUM(E22:E23)</f>
        <v>12790027.469999999</v>
      </c>
      <c r="F24" s="384">
        <f t="shared" si="4"/>
        <v>11236249.48</v>
      </c>
      <c r="G24" s="384">
        <f t="shared" si="4"/>
        <v>13987616.11123604</v>
      </c>
      <c r="H24" s="384">
        <f t="shared" si="4"/>
        <v>8821883.1056083404</v>
      </c>
      <c r="I24" s="384">
        <f t="shared" si="4"/>
        <v>7029698.7680129129</v>
      </c>
      <c r="J24" s="384">
        <f t="shared" si="4"/>
        <v>7231459.4474661406</v>
      </c>
      <c r="M24" s="227"/>
      <c r="N24" s="227"/>
      <c r="O24" s="227"/>
    </row>
    <row r="25" spans="1:15" ht="7.5" customHeight="1" x14ac:dyDescent="0.25">
      <c r="A25" s="35"/>
      <c r="B25" s="35"/>
      <c r="C25" s="35"/>
      <c r="D25" s="66"/>
      <c r="E25" s="11"/>
      <c r="F25" s="11"/>
      <c r="G25" s="11"/>
      <c r="H25" s="11"/>
      <c r="I25" s="11"/>
      <c r="J25" s="11"/>
    </row>
    <row r="26" spans="1:15" ht="15" x14ac:dyDescent="0.25">
      <c r="A26" s="35"/>
      <c r="B26" s="35"/>
      <c r="C26" s="35"/>
      <c r="D26" s="67"/>
      <c r="E26" s="89"/>
      <c r="F26" s="89" t="s">
        <v>13</v>
      </c>
      <c r="G26" s="89" t="s">
        <v>13</v>
      </c>
      <c r="H26" s="89"/>
      <c r="I26" s="89"/>
      <c r="J26" s="89"/>
    </row>
    <row r="27" spans="1:15" ht="15.75" x14ac:dyDescent="0.25">
      <c r="A27" s="35"/>
      <c r="B27" s="35"/>
      <c r="C27" s="35"/>
      <c r="D27" s="87"/>
      <c r="E27" s="89"/>
      <c r="F27" s="89"/>
      <c r="G27" s="89"/>
      <c r="H27" s="89"/>
      <c r="I27" s="89"/>
      <c r="J27" s="89"/>
    </row>
    <row r="28" spans="1:15" ht="15.75" x14ac:dyDescent="0.25">
      <c r="A28" s="35"/>
      <c r="B28" s="35"/>
      <c r="C28" s="35"/>
      <c r="D28" s="87"/>
      <c r="E28" s="89"/>
      <c r="F28" s="89"/>
      <c r="G28" s="89"/>
      <c r="H28" s="89"/>
      <c r="I28" s="89"/>
      <c r="J28" s="89"/>
    </row>
    <row r="29" spans="1:15" ht="15.75" x14ac:dyDescent="0.25">
      <c r="A29" s="35"/>
      <c r="B29" s="35"/>
      <c r="C29" s="35"/>
      <c r="D29" s="87"/>
      <c r="E29" s="66"/>
      <c r="F29" s="66"/>
      <c r="G29" s="66" t="s">
        <v>13</v>
      </c>
      <c r="H29" s="66"/>
      <c r="I29" s="66"/>
      <c r="J29" s="66"/>
    </row>
    <row r="30" spans="1:15" ht="15.75" x14ac:dyDescent="0.25">
      <c r="A30" s="35"/>
      <c r="B30" s="35"/>
      <c r="C30" s="35"/>
      <c r="D30" s="87"/>
      <c r="E30" s="89"/>
      <c r="F30" s="89"/>
      <c r="G30" s="89"/>
      <c r="H30" s="89"/>
      <c r="I30" s="89"/>
      <c r="J30" s="89"/>
    </row>
    <row r="31" spans="1:15" ht="15.75" x14ac:dyDescent="0.25">
      <c r="A31" s="35"/>
      <c r="B31" s="35"/>
      <c r="C31" s="35"/>
      <c r="D31" s="87"/>
      <c r="E31" s="66"/>
      <c r="F31" s="66"/>
      <c r="G31" s="66"/>
      <c r="H31" s="66"/>
      <c r="I31" s="66"/>
      <c r="J31" s="66"/>
    </row>
    <row r="32" spans="1:15" ht="15.75" x14ac:dyDescent="0.25">
      <c r="A32" s="35"/>
      <c r="B32" s="35"/>
      <c r="C32" s="35"/>
      <c r="D32" s="87"/>
      <c r="E32" s="66"/>
      <c r="F32" s="66"/>
      <c r="G32" s="66"/>
      <c r="H32" s="66"/>
      <c r="I32" s="66"/>
      <c r="J32" s="66"/>
    </row>
    <row r="33" spans="1:10" ht="15.75" x14ac:dyDescent="0.25">
      <c r="A33" s="35"/>
      <c r="B33" s="35"/>
      <c r="C33" s="35"/>
      <c r="D33" s="87"/>
      <c r="E33" s="66"/>
      <c r="F33" s="66"/>
      <c r="G33" s="66"/>
      <c r="H33" s="66"/>
      <c r="I33" s="66"/>
      <c r="J33" s="66"/>
    </row>
    <row r="34" spans="1:10" ht="15.75" x14ac:dyDescent="0.25">
      <c r="A34" s="3"/>
      <c r="B34" s="36"/>
      <c r="C34" s="36"/>
      <c r="D34" s="87"/>
      <c r="E34" s="41"/>
      <c r="F34" s="41"/>
      <c r="G34" s="41"/>
      <c r="H34" s="41"/>
      <c r="I34" s="41"/>
      <c r="J34" s="41"/>
    </row>
    <row r="35" spans="1:10" ht="15.75" x14ac:dyDescent="0.25">
      <c r="A35" s="3"/>
      <c r="B35" s="3"/>
      <c r="C35" s="3"/>
      <c r="D35" s="87"/>
      <c r="E35" s="41"/>
      <c r="F35" s="41"/>
      <c r="G35" s="41"/>
      <c r="H35" s="41"/>
      <c r="I35" s="41"/>
      <c r="J35" s="41"/>
    </row>
    <row r="36" spans="1:10" ht="15" x14ac:dyDescent="0.2">
      <c r="A36" s="3"/>
      <c r="B36" s="3"/>
      <c r="C36" s="3"/>
      <c r="D36" s="2"/>
    </row>
    <row r="37" spans="1:10" ht="15" x14ac:dyDescent="0.2">
      <c r="A37" s="3"/>
      <c r="B37" s="3"/>
      <c r="C37" s="3"/>
      <c r="D37" s="2"/>
    </row>
    <row r="38" spans="1:10" ht="15" x14ac:dyDescent="0.2">
      <c r="A38" s="3"/>
      <c r="B38" s="3"/>
      <c r="C38" s="3"/>
      <c r="D38" s="5"/>
    </row>
    <row r="39" spans="1:10" ht="15" x14ac:dyDescent="0.2">
      <c r="A39" s="3"/>
      <c r="B39" s="3"/>
      <c r="C39" s="3"/>
      <c r="D39" s="5"/>
    </row>
  </sheetData>
  <mergeCells count="5">
    <mergeCell ref="D2:J2"/>
    <mergeCell ref="D3:J3"/>
    <mergeCell ref="H4:J4"/>
    <mergeCell ref="D8:J8"/>
    <mergeCell ref="D16:J16"/>
  </mergeCells>
  <printOptions horizontalCentered="1"/>
  <pageMargins left="0.5" right="0.5" top="0.75" bottom="0.75" header="0.5" footer="0.25"/>
  <pageSetup scale="52"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33"/>
  </sheetPr>
  <dimension ref="A1:R139"/>
  <sheetViews>
    <sheetView topLeftCell="A106" zoomScaleNormal="100" zoomScalePageLayoutView="80" workbookViewId="0">
      <selection activeCell="J79" sqref="J79:J87"/>
    </sheetView>
  </sheetViews>
  <sheetFormatPr defaultRowHeight="12.75" x14ac:dyDescent="0.2"/>
  <cols>
    <col min="2" max="2" width="27.7109375" customWidth="1"/>
    <col min="3" max="3" width="20.5703125" customWidth="1"/>
    <col min="4" max="4" width="26.5703125" customWidth="1"/>
    <col min="5" max="5" width="20.140625" bestFit="1" customWidth="1"/>
    <col min="6" max="6" width="10.28515625" customWidth="1"/>
    <col min="7" max="7" width="20.140625" bestFit="1" customWidth="1"/>
    <col min="8" max="8" width="8.28515625" customWidth="1"/>
    <col min="9" max="9" width="27.42578125" customWidth="1"/>
    <col min="10" max="10" width="30.7109375" customWidth="1"/>
    <col min="11" max="11" width="26.7109375" customWidth="1"/>
    <col min="12" max="12" width="13" style="224" bestFit="1" customWidth="1"/>
    <col min="13" max="13" width="17.5703125" style="147" customWidth="1"/>
    <col min="16" max="16" width="7.5703125" customWidth="1"/>
    <col min="17" max="17" width="0.5703125" customWidth="1"/>
    <col min="18" max="18" width="11.5703125" bestFit="1" customWidth="1"/>
  </cols>
  <sheetData>
    <row r="1" spans="1:17" x14ac:dyDescent="0.2">
      <c r="L1" s="467"/>
    </row>
    <row r="2" spans="1:17" ht="22.5" customHeight="1" x14ac:dyDescent="0.35">
      <c r="A2" s="955"/>
      <c r="B2" s="1046" t="s">
        <v>176</v>
      </c>
      <c r="C2" s="1046"/>
      <c r="D2" s="1046"/>
      <c r="E2" s="1046"/>
      <c r="F2" s="1046"/>
      <c r="G2" s="1046"/>
      <c r="H2" s="1046"/>
      <c r="I2" s="1046"/>
      <c r="J2" s="1046"/>
      <c r="K2" s="1046"/>
      <c r="L2" s="1046"/>
      <c r="M2" s="1046"/>
      <c r="N2" s="41"/>
      <c r="O2" s="41"/>
    </row>
    <row r="3" spans="1:17" ht="24" customHeight="1" x14ac:dyDescent="0.2">
      <c r="A3" s="955"/>
      <c r="B3" s="1046" t="s">
        <v>270</v>
      </c>
      <c r="C3" s="1046"/>
      <c r="D3" s="1046"/>
      <c r="E3" s="1046"/>
      <c r="F3" s="1046"/>
      <c r="G3" s="1046"/>
      <c r="H3" s="1046"/>
      <c r="I3" s="1046"/>
      <c r="J3" s="1046"/>
      <c r="K3" s="1046"/>
      <c r="L3" s="1046"/>
      <c r="M3" s="1046"/>
      <c r="N3" s="41"/>
      <c r="O3" s="41"/>
    </row>
    <row r="4" spans="1:17" ht="9.75" customHeight="1" x14ac:dyDescent="0.2">
      <c r="A4" s="955"/>
      <c r="B4" s="1046"/>
      <c r="C4" s="1046"/>
      <c r="D4" s="1046"/>
      <c r="E4" s="1046"/>
      <c r="F4" s="1046"/>
      <c r="G4" s="1046"/>
      <c r="H4" s="1046"/>
      <c r="I4" s="1046"/>
      <c r="J4" s="1046"/>
      <c r="K4" s="1046"/>
      <c r="L4" s="1046"/>
      <c r="M4" s="1046"/>
      <c r="N4" s="41"/>
      <c r="O4" s="41"/>
    </row>
    <row r="5" spans="1:17" s="222" customFormat="1" ht="129.75" customHeight="1" x14ac:dyDescent="0.25">
      <c r="A5" s="955"/>
      <c r="B5" s="1049" t="s">
        <v>344</v>
      </c>
      <c r="C5" s="1049"/>
      <c r="D5" s="1049"/>
      <c r="E5" s="1049"/>
      <c r="F5" s="1049"/>
      <c r="G5" s="1049"/>
      <c r="H5" s="1049"/>
      <c r="I5" s="1049"/>
      <c r="J5" s="1049"/>
      <c r="K5" s="1049"/>
      <c r="L5" s="1049"/>
      <c r="M5" s="1049"/>
      <c r="N5" s="148"/>
      <c r="O5" s="148"/>
      <c r="P5" s="57"/>
      <c r="Q5" s="57"/>
    </row>
    <row r="6" spans="1:17" ht="28.5" customHeight="1" x14ac:dyDescent="0.25">
      <c r="A6" s="955"/>
      <c r="B6" s="1050" t="s">
        <v>89</v>
      </c>
      <c r="C6" s="1050"/>
      <c r="D6" s="1050"/>
      <c r="E6" s="1047"/>
      <c r="F6" s="1047"/>
      <c r="G6" s="1047"/>
      <c r="H6" s="1047"/>
      <c r="I6" s="1047"/>
      <c r="J6" s="1047"/>
      <c r="K6" s="1047"/>
      <c r="L6" s="1047"/>
      <c r="M6" s="1047"/>
      <c r="N6" s="41"/>
      <c r="O6" s="41"/>
    </row>
    <row r="7" spans="1:17" ht="36.75" customHeight="1" x14ac:dyDescent="0.2">
      <c r="A7" s="955"/>
      <c r="B7" s="426" t="s">
        <v>313</v>
      </c>
      <c r="C7" s="426" t="s">
        <v>62</v>
      </c>
      <c r="D7" s="426" t="s">
        <v>63</v>
      </c>
      <c r="E7" s="1047"/>
      <c r="F7" s="1047"/>
      <c r="G7" s="1047"/>
      <c r="H7" s="1047"/>
      <c r="I7" s="1047"/>
      <c r="J7" s="1047"/>
      <c r="K7" s="1047"/>
      <c r="L7" s="1047"/>
      <c r="M7" s="1047"/>
      <c r="N7" s="41"/>
      <c r="O7" s="41"/>
    </row>
    <row r="8" spans="1:17" ht="30" customHeight="1" x14ac:dyDescent="0.2">
      <c r="A8" s="955"/>
      <c r="B8" s="427">
        <v>75</v>
      </c>
      <c r="C8" s="428">
        <v>0.02</v>
      </c>
      <c r="D8" s="429">
        <f t="shared" ref="D8:D15" si="0">C8*$C$17</f>
        <v>3069567.827</v>
      </c>
      <c r="E8" s="1047"/>
      <c r="F8" s="1047"/>
      <c r="G8" s="1047"/>
      <c r="H8" s="1047"/>
      <c r="I8" s="1047"/>
      <c r="J8" s="1047"/>
      <c r="K8" s="1047"/>
      <c r="L8" s="1047"/>
      <c r="M8" s="1047"/>
      <c r="N8" s="41"/>
      <c r="O8" s="41"/>
    </row>
    <row r="9" spans="1:17" ht="30" customHeight="1" x14ac:dyDescent="0.2">
      <c r="A9" s="955"/>
      <c r="B9" s="427">
        <v>85</v>
      </c>
      <c r="C9" s="428">
        <v>0.03</v>
      </c>
      <c r="D9" s="429">
        <f t="shared" si="0"/>
        <v>4604351.7404999994</v>
      </c>
      <c r="E9" s="1047"/>
      <c r="F9" s="1047"/>
      <c r="G9" s="1047"/>
      <c r="H9" s="1047"/>
      <c r="I9" s="1047"/>
      <c r="J9" s="1047"/>
      <c r="K9" s="1047"/>
      <c r="L9" s="1047"/>
      <c r="M9" s="1047"/>
      <c r="N9" s="41"/>
      <c r="O9" s="149"/>
    </row>
    <row r="10" spans="1:17" ht="30" customHeight="1" x14ac:dyDescent="0.2">
      <c r="A10" s="955"/>
      <c r="B10" s="427">
        <v>95</v>
      </c>
      <c r="C10" s="428">
        <v>0.04</v>
      </c>
      <c r="D10" s="429">
        <f t="shared" si="0"/>
        <v>6139135.6540000001</v>
      </c>
      <c r="E10" s="1047"/>
      <c r="F10" s="1047"/>
      <c r="G10" s="1047"/>
      <c r="H10" s="1047"/>
      <c r="I10" s="1047"/>
      <c r="J10" s="1047"/>
      <c r="K10" s="1047"/>
      <c r="L10" s="1047"/>
      <c r="M10" s="1047"/>
      <c r="N10" s="41"/>
      <c r="O10" s="41"/>
    </row>
    <row r="11" spans="1:17" ht="30" customHeight="1" x14ac:dyDescent="0.2">
      <c r="A11" s="955"/>
      <c r="B11" s="430">
        <v>100</v>
      </c>
      <c r="C11" s="431">
        <v>4.4999999999999998E-2</v>
      </c>
      <c r="D11" s="432">
        <f>C11*$C$17</f>
        <v>6906527.6107499991</v>
      </c>
      <c r="E11" s="1047"/>
      <c r="F11" s="1047"/>
      <c r="G11" s="1047"/>
      <c r="H11" s="1047"/>
      <c r="I11" s="1047"/>
      <c r="J11" s="1047"/>
      <c r="K11" s="1047"/>
      <c r="L11" s="1047"/>
      <c r="M11" s="1047"/>
      <c r="N11" s="41"/>
      <c r="O11" s="41"/>
    </row>
    <row r="12" spans="1:17" ht="30" customHeight="1" x14ac:dyDescent="0.2">
      <c r="A12" s="955"/>
      <c r="B12" s="427">
        <v>105</v>
      </c>
      <c r="C12" s="428">
        <v>0.05</v>
      </c>
      <c r="D12" s="429">
        <f t="shared" si="0"/>
        <v>7673919.5674999999</v>
      </c>
      <c r="E12" s="1047"/>
      <c r="F12" s="1047"/>
      <c r="G12" s="1047"/>
      <c r="H12" s="1047"/>
      <c r="I12" s="1047"/>
      <c r="J12" s="1047"/>
      <c r="K12" s="1047"/>
      <c r="L12" s="1047"/>
      <c r="M12" s="1047"/>
      <c r="N12" s="41"/>
      <c r="O12" s="41"/>
    </row>
    <row r="13" spans="1:17" ht="29.25" customHeight="1" x14ac:dyDescent="0.2">
      <c r="A13" s="955"/>
      <c r="B13" s="427">
        <v>115</v>
      </c>
      <c r="C13" s="428">
        <v>0.06</v>
      </c>
      <c r="D13" s="429">
        <f t="shared" si="0"/>
        <v>9208703.4809999987</v>
      </c>
      <c r="E13" s="1047"/>
      <c r="F13" s="1047"/>
      <c r="G13" s="1047"/>
      <c r="H13" s="1047"/>
      <c r="I13" s="1047"/>
      <c r="J13" s="1047"/>
      <c r="K13" s="1047"/>
      <c r="L13" s="1047"/>
      <c r="M13" s="1047"/>
      <c r="N13" s="41"/>
      <c r="O13" s="41"/>
    </row>
    <row r="14" spans="1:17" ht="30" customHeight="1" x14ac:dyDescent="0.2">
      <c r="A14" s="955"/>
      <c r="B14" s="427">
        <v>125</v>
      </c>
      <c r="C14" s="428">
        <v>7.0000000000000007E-2</v>
      </c>
      <c r="D14" s="429">
        <f t="shared" si="0"/>
        <v>10743487.3945</v>
      </c>
      <c r="E14" s="1047"/>
      <c r="F14" s="1047"/>
      <c r="G14" s="1047"/>
      <c r="H14" s="1047"/>
      <c r="I14" s="1047"/>
      <c r="J14" s="1047"/>
      <c r="K14" s="1047"/>
      <c r="L14" s="1047"/>
      <c r="M14" s="1047"/>
      <c r="N14" s="41"/>
      <c r="O14" s="41"/>
    </row>
    <row r="15" spans="1:17" ht="30" customHeight="1" x14ac:dyDescent="0.2">
      <c r="A15" s="955"/>
      <c r="B15" s="427">
        <v>135</v>
      </c>
      <c r="C15" s="428">
        <v>0.08</v>
      </c>
      <c r="D15" s="429">
        <f t="shared" si="0"/>
        <v>12278271.308</v>
      </c>
      <c r="E15" s="1047"/>
      <c r="F15" s="1047"/>
      <c r="G15" s="1047"/>
      <c r="H15" s="1047"/>
      <c r="I15" s="1047"/>
      <c r="J15" s="1047"/>
      <c r="K15" s="1047"/>
      <c r="L15" s="1047"/>
      <c r="M15" s="1047"/>
      <c r="N15" s="41"/>
      <c r="O15" s="41"/>
    </row>
    <row r="16" spans="1:17" ht="25.5" customHeight="1" x14ac:dyDescent="0.25">
      <c r="A16" s="955"/>
      <c r="B16" s="434" t="s">
        <v>88</v>
      </c>
      <c r="C16" s="435"/>
      <c r="D16" s="433"/>
      <c r="E16" s="1047"/>
      <c r="F16" s="1047"/>
      <c r="G16" s="1047"/>
      <c r="H16" s="1047"/>
      <c r="I16" s="1047"/>
      <c r="J16" s="1047"/>
      <c r="K16" s="1047"/>
      <c r="L16" s="1047"/>
      <c r="M16" s="1047"/>
      <c r="N16" s="41"/>
      <c r="O16" s="41"/>
    </row>
    <row r="17" spans="1:15" s="58" customFormat="1" ht="36" customHeight="1" x14ac:dyDescent="0.25">
      <c r="A17" s="955"/>
      <c r="B17" s="436" t="s">
        <v>2</v>
      </c>
      <c r="C17" s="437">
        <f>'ES CT Electric Table A  '!G54-'ES CT Electric Table A  '!G47-'ES CT Electric Table A  '!G46-'ES CT Electric Table A  '!G45-'ES CT Electric Table A  '!G43</f>
        <v>153478391.34999999</v>
      </c>
      <c r="D17" s="433"/>
      <c r="E17" s="1047"/>
      <c r="F17" s="1047"/>
      <c r="G17" s="1047"/>
      <c r="H17" s="1047"/>
      <c r="I17" s="1047"/>
      <c r="J17" s="1047"/>
      <c r="K17" s="1047"/>
      <c r="L17" s="1047"/>
      <c r="M17" s="1047"/>
    </row>
    <row r="18" spans="1:15" ht="19.5" customHeight="1" x14ac:dyDescent="0.2">
      <c r="A18" s="955"/>
      <c r="B18" s="1048" t="s">
        <v>319</v>
      </c>
      <c r="C18" s="1048"/>
      <c r="D18" s="1048"/>
      <c r="E18" s="1047"/>
      <c r="F18" s="1047"/>
      <c r="G18" s="1047"/>
      <c r="H18" s="1047"/>
      <c r="I18" s="1047"/>
      <c r="J18" s="1047"/>
      <c r="K18" s="1047"/>
      <c r="L18" s="1047"/>
      <c r="M18" s="1047"/>
      <c r="N18" s="41"/>
      <c r="O18" s="41"/>
    </row>
    <row r="19" spans="1:15" ht="19.5" customHeight="1" x14ac:dyDescent="0.2">
      <c r="A19" s="955"/>
      <c r="B19" s="1048"/>
      <c r="C19" s="1048"/>
      <c r="D19" s="1048"/>
      <c r="E19" s="1047"/>
      <c r="F19" s="1047"/>
      <c r="G19" s="1047"/>
      <c r="H19" s="1047"/>
      <c r="I19" s="1047"/>
      <c r="J19" s="1047"/>
      <c r="K19" s="1047"/>
      <c r="L19" s="1047"/>
      <c r="M19" s="1047"/>
      <c r="N19" s="41"/>
      <c r="O19" s="41"/>
    </row>
    <row r="20" spans="1:15" ht="19.5" customHeight="1" x14ac:dyDescent="0.2">
      <c r="A20" s="955"/>
      <c r="B20" s="1048"/>
      <c r="C20" s="1048"/>
      <c r="D20" s="1048"/>
      <c r="E20" s="1047"/>
      <c r="F20" s="1047"/>
      <c r="G20" s="1047"/>
      <c r="H20" s="1047"/>
      <c r="I20" s="1047"/>
      <c r="J20" s="1047"/>
      <c r="K20" s="1047"/>
      <c r="L20" s="1047"/>
      <c r="M20" s="1047"/>
      <c r="N20" s="41"/>
      <c r="O20" s="41"/>
    </row>
    <row r="21" spans="1:15" ht="7.5" customHeight="1" x14ac:dyDescent="0.2">
      <c r="A21" s="955"/>
      <c r="B21" s="1048"/>
      <c r="C21" s="1048"/>
      <c r="D21" s="1048"/>
      <c r="E21" s="1047"/>
      <c r="F21" s="1047"/>
      <c r="G21" s="1047"/>
      <c r="H21" s="1047"/>
      <c r="I21" s="1047"/>
      <c r="J21" s="1047"/>
      <c r="K21" s="1047"/>
      <c r="L21" s="1047"/>
      <c r="M21" s="1047"/>
      <c r="N21" s="41"/>
      <c r="O21" s="41"/>
    </row>
    <row r="22" spans="1:15" ht="12" hidden="1" customHeight="1" x14ac:dyDescent="0.2">
      <c r="A22" s="955"/>
      <c r="B22" s="1048"/>
      <c r="C22" s="1048"/>
      <c r="D22" s="1048"/>
      <c r="E22" s="1047"/>
      <c r="F22" s="1047"/>
      <c r="G22" s="1047"/>
      <c r="H22" s="1047"/>
      <c r="I22" s="1047"/>
      <c r="J22" s="1047"/>
      <c r="K22" s="1047"/>
      <c r="L22" s="1047"/>
      <c r="M22" s="1047"/>
      <c r="N22" s="41"/>
      <c r="O22" s="41"/>
    </row>
    <row r="23" spans="1:15" ht="43.5" hidden="1" customHeight="1" x14ac:dyDescent="0.2">
      <c r="A23" s="955"/>
      <c r="B23" s="1048"/>
      <c r="C23" s="1048"/>
      <c r="D23" s="1048"/>
      <c r="E23" s="1047"/>
      <c r="F23" s="1047"/>
      <c r="G23" s="1047"/>
      <c r="H23" s="1047"/>
      <c r="I23" s="1047"/>
      <c r="J23" s="1047"/>
      <c r="K23" s="1047"/>
      <c r="L23" s="1047"/>
      <c r="M23" s="1047"/>
      <c r="N23" s="41"/>
      <c r="O23" s="41"/>
    </row>
    <row r="24" spans="1:15" ht="18.75" hidden="1" customHeight="1" x14ac:dyDescent="0.2">
      <c r="A24" s="955"/>
      <c r="B24" s="1048"/>
      <c r="C24" s="1048"/>
      <c r="D24" s="1048"/>
      <c r="E24" s="1047"/>
      <c r="F24" s="1047"/>
      <c r="G24" s="1047"/>
      <c r="H24" s="1047"/>
      <c r="I24" s="1047"/>
      <c r="J24" s="1047"/>
      <c r="K24" s="1047"/>
      <c r="L24" s="1047"/>
      <c r="M24" s="1047"/>
      <c r="N24" s="41"/>
      <c r="O24" s="41"/>
    </row>
    <row r="25" spans="1:15" ht="21" customHeight="1" thickBot="1" x14ac:dyDescent="0.25">
      <c r="B25" s="41"/>
      <c r="C25" s="41"/>
      <c r="D25" s="41"/>
      <c r="E25" s="41"/>
      <c r="F25" s="41"/>
      <c r="G25" s="41"/>
      <c r="H25" s="41"/>
      <c r="I25" s="41"/>
      <c r="J25" s="41"/>
      <c r="K25" s="41"/>
      <c r="L25" s="223"/>
      <c r="N25" s="41"/>
      <c r="O25" s="41"/>
    </row>
    <row r="26" spans="1:15" ht="19.5" customHeight="1" thickBot="1" x14ac:dyDescent="0.25">
      <c r="A26" s="955"/>
      <c r="B26" s="1052" t="s">
        <v>64</v>
      </c>
      <c r="C26" s="1052"/>
      <c r="D26" s="1051" t="s">
        <v>65</v>
      </c>
      <c r="E26" s="1051"/>
      <c r="F26" s="1051"/>
      <c r="G26" s="1051"/>
      <c r="H26" s="1051"/>
      <c r="I26" s="1051"/>
      <c r="J26" s="1052" t="s">
        <v>66</v>
      </c>
      <c r="K26" s="1052"/>
      <c r="L26" s="1052"/>
      <c r="M26" s="1052"/>
      <c r="N26" s="41"/>
      <c r="O26" s="41"/>
    </row>
    <row r="27" spans="1:15" ht="31.5" customHeight="1" thickBot="1" x14ac:dyDescent="0.25">
      <c r="A27" s="955"/>
      <c r="B27" s="1052"/>
      <c r="C27" s="1052"/>
      <c r="D27" s="1051"/>
      <c r="E27" s="1051"/>
      <c r="F27" s="1051"/>
      <c r="G27" s="1051"/>
      <c r="H27" s="1051"/>
      <c r="I27" s="1051"/>
      <c r="J27" s="460" t="s">
        <v>67</v>
      </c>
      <c r="K27" s="460" t="s">
        <v>68</v>
      </c>
      <c r="L27" s="460" t="s">
        <v>69</v>
      </c>
      <c r="M27" s="461" t="s">
        <v>70</v>
      </c>
      <c r="N27" s="41"/>
      <c r="O27" s="41"/>
    </row>
    <row r="28" spans="1:15" ht="19.5" customHeight="1" thickBot="1" x14ac:dyDescent="0.25">
      <c r="A28" s="955"/>
      <c r="B28" s="1059"/>
      <c r="C28" s="1059"/>
      <c r="D28" s="1059"/>
      <c r="E28" s="1059"/>
      <c r="F28" s="1059"/>
      <c r="G28" s="1059"/>
      <c r="H28" s="1059"/>
      <c r="I28" s="1059"/>
      <c r="J28" s="1059"/>
      <c r="K28" s="1059"/>
      <c r="L28" s="1059"/>
      <c r="M28" s="1059"/>
      <c r="N28" s="41"/>
      <c r="O28" s="41"/>
    </row>
    <row r="29" spans="1:15" ht="17.25" customHeight="1" x14ac:dyDescent="0.2">
      <c r="A29" s="955"/>
      <c r="B29" s="1060" t="s">
        <v>15</v>
      </c>
      <c r="C29" s="1060"/>
      <c r="D29" s="1034" t="s">
        <v>71</v>
      </c>
      <c r="E29" s="1034" t="s">
        <v>72</v>
      </c>
      <c r="F29" s="1034"/>
      <c r="G29" s="1034" t="s">
        <v>73</v>
      </c>
      <c r="H29" s="1034"/>
      <c r="I29" s="1036" t="s">
        <v>74</v>
      </c>
      <c r="J29" s="1039"/>
      <c r="K29" s="1039"/>
      <c r="L29" s="1039"/>
      <c r="M29" s="1041"/>
      <c r="N29" s="41"/>
      <c r="O29" s="41"/>
    </row>
    <row r="30" spans="1:15" ht="18.75" customHeight="1" thickBot="1" x14ac:dyDescent="0.25">
      <c r="A30" s="955"/>
      <c r="B30" s="1061"/>
      <c r="C30" s="1061"/>
      <c r="D30" s="1035"/>
      <c r="E30" s="1035"/>
      <c r="F30" s="1035"/>
      <c r="G30" s="1035"/>
      <c r="H30" s="1035"/>
      <c r="I30" s="1037"/>
      <c r="J30" s="1040"/>
      <c r="K30" s="1040"/>
      <c r="L30" s="1040"/>
      <c r="M30" s="1042"/>
      <c r="N30" s="41"/>
      <c r="O30" s="41"/>
    </row>
    <row r="31" spans="1:15" ht="19.5" customHeight="1" thickBot="1" x14ac:dyDescent="0.25">
      <c r="A31" s="955"/>
      <c r="B31" s="973" t="s">
        <v>314</v>
      </c>
      <c r="C31" s="970">
        <f>'ES CT Electric Table A  '!G16/1000</f>
        <v>77508.627999999997</v>
      </c>
      <c r="D31" s="1045"/>
      <c r="E31" s="1045"/>
      <c r="F31" s="1045"/>
      <c r="G31" s="1045"/>
      <c r="H31" s="1045"/>
      <c r="I31" s="1045"/>
      <c r="J31" s="1072" t="s">
        <v>93</v>
      </c>
      <c r="K31" s="1053" t="s">
        <v>90</v>
      </c>
      <c r="L31" s="1071">
        <f>0.1625-0.03375-0.01625+0.005+0.005+0.0575-0.015+0.03-0.0025</f>
        <v>0.19250000000000003</v>
      </c>
      <c r="M31" s="1043">
        <f>$D$11*L31</f>
        <v>1329506.5650693751</v>
      </c>
      <c r="N31" s="41"/>
      <c r="O31" s="41"/>
    </row>
    <row r="32" spans="1:15" ht="3.75" customHeight="1" thickBot="1" x14ac:dyDescent="0.25">
      <c r="A32" s="955"/>
      <c r="B32" s="973"/>
      <c r="C32" s="970"/>
      <c r="D32" s="1045"/>
      <c r="E32" s="1045"/>
      <c r="F32" s="1045"/>
      <c r="G32" s="1045"/>
      <c r="H32" s="1045"/>
      <c r="I32" s="1045"/>
      <c r="J32" s="1072"/>
      <c r="K32" s="1054"/>
      <c r="L32" s="1071"/>
      <c r="M32" s="1043"/>
      <c r="N32" s="41"/>
      <c r="O32" s="41"/>
    </row>
    <row r="33" spans="1:15" ht="18.75" customHeight="1" thickBot="1" x14ac:dyDescent="0.3">
      <c r="A33" s="955"/>
      <c r="B33" s="973"/>
      <c r="C33" s="970"/>
      <c r="D33" s="441" t="s">
        <v>96</v>
      </c>
      <c r="E33" s="997">
        <f>'2014-24 ESCTETable D3-lftimekWh'!M8*1000</f>
        <v>148666915.65000001</v>
      </c>
      <c r="F33" s="997"/>
      <c r="G33" s="1038">
        <f>'2014-24 ES CT E Table D1-kW'!M8</f>
        <v>5403.777</v>
      </c>
      <c r="H33" s="1038"/>
      <c r="I33" s="439">
        <f t="shared" ref="I33:I38" si="1">(E33*E$42+G33*G$42)/K$35</f>
        <v>0.37348304596128734</v>
      </c>
      <c r="J33" s="1072"/>
      <c r="K33" s="1054"/>
      <c r="L33" s="1071"/>
      <c r="M33" s="1043"/>
      <c r="N33" s="41"/>
      <c r="O33" s="41"/>
    </row>
    <row r="34" spans="1:15" ht="37.5" customHeight="1" thickBot="1" x14ac:dyDescent="0.3">
      <c r="A34" s="955"/>
      <c r="B34" s="973"/>
      <c r="C34" s="970"/>
      <c r="D34" s="441" t="s">
        <v>75</v>
      </c>
      <c r="E34" s="997">
        <f>'2014-24 ESCTETable D3-lftimekWh'!M9*1000</f>
        <v>64967396</v>
      </c>
      <c r="F34" s="997"/>
      <c r="G34" s="1038">
        <f>'2014-24 ES CT E Table D1-kW'!M9</f>
        <v>784.36800000000005</v>
      </c>
      <c r="H34" s="1038"/>
      <c r="I34" s="439">
        <f t="shared" si="1"/>
        <v>9.8641901142803134E-2</v>
      </c>
      <c r="J34" s="1072"/>
      <c r="K34" s="1055"/>
      <c r="L34" s="1071"/>
      <c r="M34" s="1043"/>
      <c r="N34" s="41"/>
      <c r="O34" s="41"/>
    </row>
    <row r="35" spans="1:15" ht="34.5" customHeight="1" thickBot="1" x14ac:dyDescent="0.3">
      <c r="A35" s="955"/>
      <c r="B35" s="973"/>
      <c r="C35" s="970"/>
      <c r="D35" s="441" t="s">
        <v>109</v>
      </c>
      <c r="E35" s="997">
        <f>'2014-24 ESCTETable D3-lftimekWh'!M10*1000</f>
        <v>142724417.94000003</v>
      </c>
      <c r="F35" s="997"/>
      <c r="G35" s="1038">
        <f>'2014-24 ES CT E Table D1-kW'!M10</f>
        <v>2896.8960000000002</v>
      </c>
      <c r="H35" s="1038"/>
      <c r="I35" s="439">
        <f t="shared" si="1"/>
        <v>0.26475915391942489</v>
      </c>
      <c r="J35" s="1072"/>
      <c r="K35" s="1056">
        <f>E43+G43</f>
        <v>66812815.081460968</v>
      </c>
      <c r="L35" s="1071"/>
      <c r="M35" s="1043"/>
      <c r="N35" s="41"/>
      <c r="O35" s="41"/>
    </row>
    <row r="36" spans="1:15" ht="42" customHeight="1" thickBot="1" x14ac:dyDescent="0.3">
      <c r="A36" s="955"/>
      <c r="B36" s="973"/>
      <c r="C36" s="970"/>
      <c r="D36" s="441" t="s">
        <v>271</v>
      </c>
      <c r="E36" s="997">
        <f>'2014-24 ESCTETable D3-lftimekWh'!M11*1000</f>
        <v>98518330.679999992</v>
      </c>
      <c r="F36" s="997"/>
      <c r="G36" s="1038">
        <f>'2014-24 ES CT E Table D1-kW'!M11</f>
        <v>988.38499999999999</v>
      </c>
      <c r="H36" s="1038"/>
      <c r="I36" s="439">
        <f t="shared" si="1"/>
        <v>0.14135163989768615</v>
      </c>
      <c r="J36" s="1072"/>
      <c r="K36" s="1057"/>
      <c r="L36" s="1071"/>
      <c r="M36" s="1043"/>
      <c r="N36" s="41"/>
      <c r="O36" s="41"/>
    </row>
    <row r="37" spans="1:15" ht="41.25" customHeight="1" thickBot="1" x14ac:dyDescent="0.3">
      <c r="A37" s="955"/>
      <c r="B37" s="973"/>
      <c r="C37" s="970"/>
      <c r="D37" s="441" t="s">
        <v>320</v>
      </c>
      <c r="E37" s="997">
        <f>'2014-24 ESCTETable D3-lftimekWh'!M12*1000</f>
        <v>81581823</v>
      </c>
      <c r="F37" s="997"/>
      <c r="G37" s="1038">
        <f>'2014-24 ES CT E Table D1-kW'!M12</f>
        <v>933.22199999999998</v>
      </c>
      <c r="H37" s="1038"/>
      <c r="I37" s="439">
        <f t="shared" si="1"/>
        <v>0.12174984749697984</v>
      </c>
      <c r="J37" s="1072"/>
      <c r="K37" s="1057"/>
      <c r="L37" s="1071"/>
      <c r="M37" s="1043"/>
      <c r="N37" s="41"/>
      <c r="O37" s="41"/>
    </row>
    <row r="38" spans="1:15" ht="24.75" customHeight="1" thickBot="1" x14ac:dyDescent="0.3">
      <c r="A38" s="955"/>
      <c r="B38" s="973"/>
      <c r="C38" s="970"/>
      <c r="D38" s="441" t="s">
        <v>218</v>
      </c>
      <c r="E38" s="997">
        <f>[19]EE_Table_B!$N$64*1000</f>
        <v>0</v>
      </c>
      <c r="F38" s="997"/>
      <c r="G38" s="1038">
        <f>[19]EE_Table_B!$O64</f>
        <v>0</v>
      </c>
      <c r="H38" s="1038"/>
      <c r="I38" s="439">
        <f t="shared" si="1"/>
        <v>0</v>
      </c>
      <c r="J38" s="1072"/>
      <c r="K38" s="1057"/>
      <c r="L38" s="1071"/>
      <c r="M38" s="1043"/>
      <c r="N38" s="41"/>
      <c r="O38" s="41"/>
    </row>
    <row r="39" spans="1:15" ht="18.75" customHeight="1" thickBot="1" x14ac:dyDescent="0.25">
      <c r="A39" s="955"/>
      <c r="B39" s="973"/>
      <c r="C39" s="970"/>
      <c r="D39" s="973"/>
      <c r="E39" s="973"/>
      <c r="F39" s="973"/>
      <c r="G39" s="973"/>
      <c r="H39" s="973"/>
      <c r="I39" s="973"/>
      <c r="J39" s="1072"/>
      <c r="K39" s="1057"/>
      <c r="L39" s="1071"/>
      <c r="M39" s="1043"/>
      <c r="N39" s="41"/>
      <c r="O39" s="41"/>
    </row>
    <row r="40" spans="1:15" ht="18.75" customHeight="1" thickBot="1" x14ac:dyDescent="0.3">
      <c r="A40" s="955"/>
      <c r="B40" s="973"/>
      <c r="C40" s="970"/>
      <c r="D40" s="441" t="s">
        <v>76</v>
      </c>
      <c r="E40" s="998">
        <f>ROUND(SUM(E33:E38),0)</f>
        <v>536458883</v>
      </c>
      <c r="F40" s="998"/>
      <c r="G40" s="998">
        <f>ROUND(SUM(G33:G38),0)</f>
        <v>11007</v>
      </c>
      <c r="H40" s="998"/>
      <c r="I40" s="466"/>
      <c r="J40" s="1072"/>
      <c r="K40" s="1057"/>
      <c r="L40" s="1071"/>
      <c r="M40" s="1043"/>
      <c r="N40" s="41"/>
      <c r="O40" s="41"/>
    </row>
    <row r="41" spans="1:15" ht="18.75" customHeight="1" thickBot="1" x14ac:dyDescent="0.25">
      <c r="A41" s="955"/>
      <c r="B41" s="973"/>
      <c r="C41" s="970"/>
      <c r="D41" s="973"/>
      <c r="E41" s="973"/>
      <c r="F41" s="973"/>
      <c r="G41" s="973"/>
      <c r="H41" s="973"/>
      <c r="I41" s="973"/>
      <c r="J41" s="1072"/>
      <c r="K41" s="1057"/>
      <c r="L41" s="1071"/>
      <c r="M41" s="1043"/>
      <c r="N41" s="41"/>
      <c r="O41" s="41"/>
    </row>
    <row r="42" spans="1:15" ht="18.75" thickBot="1" x14ac:dyDescent="0.25">
      <c r="A42" s="955"/>
      <c r="B42" s="973"/>
      <c r="C42" s="970"/>
      <c r="D42" s="441" t="s">
        <v>77</v>
      </c>
      <c r="E42" s="521">
        <f>E43/E40</f>
        <v>6.8417435118732287E-2</v>
      </c>
      <c r="F42" s="522" t="s">
        <v>4</v>
      </c>
      <c r="G42" s="519">
        <f>G43/G40</f>
        <v>2735.50234032351</v>
      </c>
      <c r="H42" s="520" t="s">
        <v>5</v>
      </c>
      <c r="I42" s="1045"/>
      <c r="J42" s="1072"/>
      <c r="K42" s="1057"/>
      <c r="L42" s="1071"/>
      <c r="M42" s="1043"/>
      <c r="N42" s="41"/>
      <c r="O42" s="41"/>
    </row>
    <row r="43" spans="1:15" ht="21" customHeight="1" thickBot="1" x14ac:dyDescent="0.25">
      <c r="A43" s="955"/>
      <c r="B43" s="973"/>
      <c r="C43" s="970"/>
      <c r="D43" s="440" t="s">
        <v>216</v>
      </c>
      <c r="E43" s="1066">
        <f>[20]EE_Table_B!$BY$65</f>
        <v>36703140.821520098</v>
      </c>
      <c r="F43" s="1066"/>
      <c r="G43" s="1066">
        <f>[20]EE_Table_B!$CG$65</f>
        <v>30109674.259940874</v>
      </c>
      <c r="H43" s="1066"/>
      <c r="I43" s="1045"/>
      <c r="J43" s="1072"/>
      <c r="K43" s="1057"/>
      <c r="L43" s="1071"/>
      <c r="M43" s="1043"/>
      <c r="N43" s="41"/>
      <c r="O43" s="41"/>
    </row>
    <row r="44" spans="1:15" ht="22.5" customHeight="1" thickBot="1" x14ac:dyDescent="0.25">
      <c r="A44" s="955"/>
      <c r="B44" s="973"/>
      <c r="C44" s="970"/>
      <c r="D44" s="1065" t="s">
        <v>81</v>
      </c>
      <c r="E44" s="1065"/>
      <c r="F44" s="1065"/>
      <c r="G44" s="1065"/>
      <c r="H44" s="1065"/>
      <c r="I44" s="1065"/>
      <c r="J44" s="1072"/>
      <c r="K44" s="1058"/>
      <c r="L44" s="1071"/>
      <c r="M44" s="1043"/>
      <c r="N44" s="41"/>
      <c r="O44" s="41"/>
    </row>
    <row r="45" spans="1:15" ht="45" customHeight="1" thickBot="1" x14ac:dyDescent="0.25">
      <c r="A45" s="955"/>
      <c r="B45" s="438" t="s">
        <v>84</v>
      </c>
      <c r="C45" s="442"/>
      <c r="D45" s="1069" t="s">
        <v>83</v>
      </c>
      <c r="E45" s="1070"/>
      <c r="F45" s="1070"/>
      <c r="G45" s="1070"/>
      <c r="H45" s="1063">
        <f>K35-C31*1000</f>
        <v>-10695812.918539032</v>
      </c>
      <c r="I45" s="1064"/>
      <c r="J45" s="443"/>
      <c r="K45" s="444">
        <f>H45</f>
        <v>-10695812.918539032</v>
      </c>
      <c r="L45" s="445">
        <f>0.1625-0.03375-0.01625+0.005+0.005+0.0575-0.015+0.03-0.0025</f>
        <v>0.19250000000000003</v>
      </c>
      <c r="M45" s="444">
        <f>$D$11*L45</f>
        <v>1329506.5650693751</v>
      </c>
      <c r="N45" s="41"/>
      <c r="O45" s="41"/>
    </row>
    <row r="46" spans="1:15" ht="44.25" customHeight="1" thickBot="1" x14ac:dyDescent="0.3">
      <c r="A46" s="955"/>
      <c r="B46" s="1073" t="s">
        <v>109</v>
      </c>
      <c r="C46" s="979">
        <f>'ES CT Electric Table A  '!G12/1000</f>
        <v>33889.599000000002</v>
      </c>
      <c r="D46" s="1045" t="s">
        <v>3</v>
      </c>
      <c r="E46" s="1045"/>
      <c r="F46" s="1045"/>
      <c r="G46" s="1062">
        <f>E35</f>
        <v>142724417.94000003</v>
      </c>
      <c r="H46" s="1062"/>
      <c r="I46" s="1080"/>
      <c r="J46" s="1081" t="s">
        <v>324</v>
      </c>
      <c r="K46" s="970"/>
      <c r="L46" s="1082"/>
      <c r="M46" s="970"/>
      <c r="N46" s="41"/>
      <c r="O46" s="41"/>
    </row>
    <row r="47" spans="1:15" ht="36.75" customHeight="1" thickBot="1" x14ac:dyDescent="0.3">
      <c r="A47" s="955"/>
      <c r="B47" s="1074"/>
      <c r="C47" s="980"/>
      <c r="D47" s="1045" t="s">
        <v>85</v>
      </c>
      <c r="E47" s="1045"/>
      <c r="F47" s="1045"/>
      <c r="G47" s="1062">
        <f>G35</f>
        <v>2896.8960000000002</v>
      </c>
      <c r="H47" s="1062"/>
      <c r="I47" s="1080"/>
      <c r="J47" s="1081"/>
      <c r="K47" s="970"/>
      <c r="L47" s="1082"/>
      <c r="M47" s="970"/>
      <c r="N47" s="41"/>
      <c r="O47" s="41"/>
    </row>
    <row r="48" spans="1:15" ht="18.75" customHeight="1" thickBot="1" x14ac:dyDescent="0.25">
      <c r="A48" s="955"/>
      <c r="B48" s="1074"/>
      <c r="C48" s="980"/>
      <c r="D48" s="969" t="s">
        <v>346</v>
      </c>
      <c r="E48" s="969"/>
      <c r="F48" s="969"/>
      <c r="G48" s="969"/>
      <c r="H48" s="969"/>
      <c r="I48" s="969"/>
      <c r="J48" s="969" t="s">
        <v>332</v>
      </c>
      <c r="K48" s="1083" t="s">
        <v>345</v>
      </c>
      <c r="L48" s="1079">
        <v>0.02</v>
      </c>
      <c r="M48" s="1044">
        <f>$D$11*L48</f>
        <v>138130.55221499997</v>
      </c>
      <c r="N48" s="41"/>
      <c r="O48" s="41"/>
    </row>
    <row r="49" spans="1:15" ht="19.5" customHeight="1" thickBot="1" x14ac:dyDescent="0.25">
      <c r="A49" s="955"/>
      <c r="B49" s="1074"/>
      <c r="C49" s="980"/>
      <c r="D49" s="969"/>
      <c r="E49" s="969"/>
      <c r="F49" s="969"/>
      <c r="G49" s="969"/>
      <c r="H49" s="969"/>
      <c r="I49" s="969"/>
      <c r="J49" s="969"/>
      <c r="K49" s="1083"/>
      <c r="L49" s="1079"/>
      <c r="M49" s="1044"/>
      <c r="N49" s="41"/>
      <c r="O49" s="41"/>
    </row>
    <row r="50" spans="1:15" s="155" customFormat="1" ht="74.25" customHeight="1" thickBot="1" x14ac:dyDescent="0.25">
      <c r="A50" s="955"/>
      <c r="B50" s="1074"/>
      <c r="C50" s="980"/>
      <c r="D50" s="969"/>
      <c r="E50" s="969"/>
      <c r="F50" s="969"/>
      <c r="G50" s="969"/>
      <c r="H50" s="969"/>
      <c r="I50" s="969"/>
      <c r="J50" s="969"/>
      <c r="K50" s="1083"/>
      <c r="L50" s="1079"/>
      <c r="M50" s="1044"/>
      <c r="N50" s="153"/>
      <c r="O50" s="154"/>
    </row>
    <row r="51" spans="1:15" ht="87" customHeight="1" thickBot="1" x14ac:dyDescent="0.25">
      <c r="A51" s="955"/>
      <c r="B51" s="1075"/>
      <c r="C51" s="981"/>
      <c r="D51" s="969" t="s">
        <v>347</v>
      </c>
      <c r="E51" s="969"/>
      <c r="F51" s="969"/>
      <c r="G51" s="969"/>
      <c r="H51" s="969"/>
      <c r="I51" s="969"/>
      <c r="J51" s="529" t="s">
        <v>331</v>
      </c>
      <c r="K51" s="530" t="s">
        <v>348</v>
      </c>
      <c r="L51" s="446">
        <v>0.01</v>
      </c>
      <c r="M51" s="447">
        <f>$D$11*L51</f>
        <v>69065.276107499987</v>
      </c>
      <c r="N51" s="93"/>
      <c r="O51" s="41"/>
    </row>
    <row r="52" spans="1:15" ht="55.5" customHeight="1" thickBot="1" x14ac:dyDescent="0.3">
      <c r="A52" s="1000"/>
      <c r="B52" s="973" t="s">
        <v>111</v>
      </c>
      <c r="C52" s="970">
        <f>'ES CT Electric Table A  '!G11/1000</f>
        <v>2965.1280000000002</v>
      </c>
      <c r="D52" s="971" t="s">
        <v>3</v>
      </c>
      <c r="E52" s="971"/>
      <c r="F52" s="971"/>
      <c r="G52" s="972">
        <f>E34</f>
        <v>64967396</v>
      </c>
      <c r="H52" s="972"/>
      <c r="I52" s="971"/>
      <c r="J52" s="1032" t="s">
        <v>315</v>
      </c>
      <c r="K52" s="1068"/>
      <c r="L52" s="1068" t="s">
        <v>13</v>
      </c>
      <c r="M52" s="1044" t="s">
        <v>13</v>
      </c>
      <c r="N52" s="41"/>
      <c r="O52" s="41"/>
    </row>
    <row r="53" spans="1:15" ht="25.5" customHeight="1" thickBot="1" x14ac:dyDescent="0.3">
      <c r="A53" s="1000"/>
      <c r="B53" s="1045"/>
      <c r="C53" s="970"/>
      <c r="D53" s="971" t="s">
        <v>85</v>
      </c>
      <c r="E53" s="971"/>
      <c r="F53" s="971"/>
      <c r="G53" s="972">
        <f>G34</f>
        <v>784.36800000000005</v>
      </c>
      <c r="H53" s="972"/>
      <c r="I53" s="971"/>
      <c r="J53" s="1032"/>
      <c r="K53" s="1068"/>
      <c r="L53" s="1068"/>
      <c r="M53" s="1044"/>
    </row>
    <row r="54" spans="1:15" ht="18.75" customHeight="1" thickBot="1" x14ac:dyDescent="0.25">
      <c r="A54" s="1000"/>
      <c r="B54" s="1045"/>
      <c r="C54" s="970"/>
      <c r="D54" s="969" t="s">
        <v>349</v>
      </c>
      <c r="E54" s="969"/>
      <c r="F54" s="969"/>
      <c r="G54" s="969"/>
      <c r="H54" s="969"/>
      <c r="I54" s="969"/>
      <c r="J54" s="969" t="s">
        <v>272</v>
      </c>
      <c r="K54" s="1067">
        <v>0.46200000000000002</v>
      </c>
      <c r="L54" s="1006">
        <v>1.4999999999999999E-2</v>
      </c>
      <c r="M54" s="1044">
        <f>$D$11*L54</f>
        <v>103597.91416124998</v>
      </c>
    </row>
    <row r="55" spans="1:15" ht="18.75" customHeight="1" thickBot="1" x14ac:dyDescent="0.25">
      <c r="A55" s="1000"/>
      <c r="B55" s="1045"/>
      <c r="C55" s="970"/>
      <c r="D55" s="969"/>
      <c r="E55" s="969"/>
      <c r="F55" s="969"/>
      <c r="G55" s="969"/>
      <c r="H55" s="969"/>
      <c r="I55" s="969"/>
      <c r="J55" s="969"/>
      <c r="K55" s="977"/>
      <c r="L55" s="1006"/>
      <c r="M55" s="1044"/>
    </row>
    <row r="56" spans="1:15" ht="33.75" customHeight="1" thickBot="1" x14ac:dyDescent="0.25">
      <c r="A56" s="1000"/>
      <c r="B56" s="1045"/>
      <c r="C56" s="970"/>
      <c r="D56" s="969"/>
      <c r="E56" s="969"/>
      <c r="F56" s="969"/>
      <c r="G56" s="969"/>
      <c r="H56" s="969"/>
      <c r="I56" s="969"/>
      <c r="J56" s="969"/>
      <c r="K56" s="977"/>
      <c r="L56" s="1006"/>
      <c r="M56" s="1044"/>
    </row>
    <row r="57" spans="1:15" ht="18.75" customHeight="1" thickBot="1" x14ac:dyDescent="0.25">
      <c r="A57" s="1000"/>
      <c r="B57" s="1045"/>
      <c r="C57" s="970"/>
      <c r="D57" s="969"/>
      <c r="E57" s="969"/>
      <c r="F57" s="969"/>
      <c r="G57" s="969"/>
      <c r="H57" s="969"/>
      <c r="I57" s="969"/>
      <c r="J57" s="969"/>
      <c r="K57" s="977"/>
      <c r="L57" s="1006"/>
      <c r="M57" s="1044"/>
    </row>
    <row r="58" spans="1:15" ht="15.75" customHeight="1" thickBot="1" x14ac:dyDescent="0.25">
      <c r="A58" s="1000"/>
      <c r="B58" s="1045"/>
      <c r="C58" s="970"/>
      <c r="D58" s="969"/>
      <c r="E58" s="969"/>
      <c r="F58" s="969"/>
      <c r="G58" s="969"/>
      <c r="H58" s="969"/>
      <c r="I58" s="969"/>
      <c r="J58" s="969"/>
      <c r="K58" s="978"/>
      <c r="L58" s="1006"/>
      <c r="M58" s="1044"/>
    </row>
    <row r="59" spans="1:15" ht="30.75" customHeight="1" thickBot="1" x14ac:dyDescent="0.3">
      <c r="A59" s="1000"/>
      <c r="B59" s="973" t="s">
        <v>316</v>
      </c>
      <c r="C59" s="970">
        <f>'ES CT Electric Table A  '!G14/1000</f>
        <v>19925.766</v>
      </c>
      <c r="D59" s="971" t="s">
        <v>78</v>
      </c>
      <c r="E59" s="971"/>
      <c r="F59" s="971"/>
      <c r="G59" s="968">
        <f>+E37</f>
        <v>81581823</v>
      </c>
      <c r="H59" s="968"/>
      <c r="I59" s="971"/>
      <c r="J59" s="1032" t="s">
        <v>324</v>
      </c>
      <c r="K59" s="971" t="s">
        <v>13</v>
      </c>
      <c r="L59" s="971"/>
      <c r="M59" s="1011"/>
    </row>
    <row r="60" spans="1:15" ht="38.25" customHeight="1" thickBot="1" x14ac:dyDescent="0.3">
      <c r="A60" s="1000"/>
      <c r="B60" s="974"/>
      <c r="C60" s="970"/>
      <c r="D60" s="971" t="s">
        <v>86</v>
      </c>
      <c r="E60" s="971"/>
      <c r="F60" s="971"/>
      <c r="G60" s="968">
        <f>+G37</f>
        <v>933.22199999999998</v>
      </c>
      <c r="H60" s="968"/>
      <c r="I60" s="971"/>
      <c r="J60" s="1032"/>
      <c r="K60" s="971"/>
      <c r="L60" s="971"/>
      <c r="M60" s="1011"/>
    </row>
    <row r="61" spans="1:15" ht="18.75" customHeight="1" thickBot="1" x14ac:dyDescent="0.25">
      <c r="A61" s="1000"/>
      <c r="B61" s="974"/>
      <c r="C61" s="970"/>
      <c r="D61" s="969" t="s">
        <v>350</v>
      </c>
      <c r="E61" s="969"/>
      <c r="F61" s="969"/>
      <c r="G61" s="969"/>
      <c r="H61" s="969"/>
      <c r="I61" s="969"/>
      <c r="J61" s="969" t="s">
        <v>333</v>
      </c>
      <c r="K61" s="1083" t="s">
        <v>351</v>
      </c>
      <c r="L61" s="1006">
        <f>0.025</f>
        <v>2.5000000000000001E-2</v>
      </c>
      <c r="M61" s="1044">
        <f>$D$11*L61</f>
        <v>172663.19026874998</v>
      </c>
    </row>
    <row r="62" spans="1:15" ht="18.75" customHeight="1" thickBot="1" x14ac:dyDescent="0.25">
      <c r="A62" s="1000"/>
      <c r="B62" s="974"/>
      <c r="C62" s="970"/>
      <c r="D62" s="969"/>
      <c r="E62" s="969"/>
      <c r="F62" s="969"/>
      <c r="G62" s="969"/>
      <c r="H62" s="969"/>
      <c r="I62" s="969"/>
      <c r="J62" s="969"/>
      <c r="K62" s="1083"/>
      <c r="L62" s="1006"/>
      <c r="M62" s="1044"/>
    </row>
    <row r="63" spans="1:15" ht="18.75" customHeight="1" thickBot="1" x14ac:dyDescent="0.25">
      <c r="A63" s="1000"/>
      <c r="B63" s="974"/>
      <c r="C63" s="970"/>
      <c r="D63" s="969"/>
      <c r="E63" s="969"/>
      <c r="F63" s="969"/>
      <c r="G63" s="969"/>
      <c r="H63" s="969"/>
      <c r="I63" s="969"/>
      <c r="J63" s="969"/>
      <c r="K63" s="1083"/>
      <c r="L63" s="1006"/>
      <c r="M63" s="1044"/>
    </row>
    <row r="64" spans="1:15" ht="57.75" customHeight="1" thickBot="1" x14ac:dyDescent="0.25">
      <c r="A64" s="1000"/>
      <c r="B64" s="974"/>
      <c r="C64" s="970"/>
      <c r="D64" s="969"/>
      <c r="E64" s="969"/>
      <c r="F64" s="969"/>
      <c r="G64" s="969"/>
      <c r="H64" s="969"/>
      <c r="I64" s="969"/>
      <c r="J64" s="969"/>
      <c r="K64" s="1083"/>
      <c r="L64" s="1006"/>
      <c r="M64" s="1044"/>
    </row>
    <row r="65" spans="1:13" ht="73.5" customHeight="1" thickBot="1" x14ac:dyDescent="0.25">
      <c r="A65" s="1000"/>
      <c r="B65" s="974"/>
      <c r="C65" s="970"/>
      <c r="D65" s="969" t="s">
        <v>334</v>
      </c>
      <c r="E65" s="969"/>
      <c r="F65" s="969"/>
      <c r="G65" s="969"/>
      <c r="H65" s="969"/>
      <c r="I65" s="969"/>
      <c r="J65" s="969" t="s">
        <v>341</v>
      </c>
      <c r="K65" s="969" t="s">
        <v>325</v>
      </c>
      <c r="L65" s="971"/>
      <c r="M65" s="1011"/>
    </row>
    <row r="66" spans="1:13" ht="28.5" customHeight="1" thickBot="1" x14ac:dyDescent="0.25">
      <c r="A66" s="1000"/>
      <c r="B66" s="974"/>
      <c r="C66" s="970"/>
      <c r="D66" s="969"/>
      <c r="E66" s="969"/>
      <c r="F66" s="969"/>
      <c r="G66" s="969"/>
      <c r="H66" s="969"/>
      <c r="I66" s="969"/>
      <c r="J66" s="969"/>
      <c r="K66" s="969"/>
      <c r="L66" s="971"/>
      <c r="M66" s="1011"/>
    </row>
    <row r="67" spans="1:13" ht="19.5" customHeight="1" thickBot="1" x14ac:dyDescent="0.25">
      <c r="A67" s="1000"/>
      <c r="B67" s="1077" t="s">
        <v>340</v>
      </c>
      <c r="C67" s="980"/>
      <c r="D67" s="969" t="s">
        <v>343</v>
      </c>
      <c r="E67" s="969"/>
      <c r="F67" s="969"/>
      <c r="G67" s="969"/>
      <c r="H67" s="969"/>
      <c r="I67" s="969"/>
      <c r="J67" s="969" t="s">
        <v>342</v>
      </c>
      <c r="K67" s="1032"/>
      <c r="L67" s="1006">
        <v>0.02</v>
      </c>
      <c r="M67" s="1044">
        <f>$D$11*L67</f>
        <v>138130.55221499997</v>
      </c>
    </row>
    <row r="68" spans="1:13" ht="19.5" customHeight="1" thickBot="1" x14ac:dyDescent="0.25">
      <c r="A68" s="1000"/>
      <c r="B68" s="1077"/>
      <c r="C68" s="980"/>
      <c r="D68" s="969"/>
      <c r="E68" s="969"/>
      <c r="F68" s="969"/>
      <c r="G68" s="969"/>
      <c r="H68" s="969"/>
      <c r="I68" s="969"/>
      <c r="J68" s="969"/>
      <c r="K68" s="1032"/>
      <c r="L68" s="1006"/>
      <c r="M68" s="1044"/>
    </row>
    <row r="69" spans="1:13" ht="14.25" customHeight="1" thickBot="1" x14ac:dyDescent="0.25">
      <c r="A69" s="1000"/>
      <c r="B69" s="1077"/>
      <c r="C69" s="980"/>
      <c r="D69" s="969"/>
      <c r="E69" s="969"/>
      <c r="F69" s="969"/>
      <c r="G69" s="969"/>
      <c r="H69" s="969"/>
      <c r="I69" s="969"/>
      <c r="J69" s="969"/>
      <c r="K69" s="1032"/>
      <c r="L69" s="1006"/>
      <c r="M69" s="1044"/>
    </row>
    <row r="70" spans="1:13" ht="40.5" customHeight="1" thickBot="1" x14ac:dyDescent="0.25">
      <c r="A70" s="1000"/>
      <c r="B70" s="1078"/>
      <c r="C70" s="981"/>
      <c r="D70" s="969"/>
      <c r="E70" s="969"/>
      <c r="F70" s="969"/>
      <c r="G70" s="969"/>
      <c r="H70" s="969"/>
      <c r="I70" s="969"/>
      <c r="J70" s="969"/>
      <c r="K70" s="1032"/>
      <c r="L70" s="1006"/>
      <c r="M70" s="1044"/>
    </row>
    <row r="71" spans="1:13" ht="25.5" customHeight="1" thickBot="1" x14ac:dyDescent="0.3">
      <c r="A71" s="1000"/>
      <c r="B71" s="1076" t="s">
        <v>96</v>
      </c>
      <c r="C71" s="979">
        <f>'ES CT Electric Table A  '!G10/1000</f>
        <v>8656.0619999999999</v>
      </c>
      <c r="D71" s="971" t="s">
        <v>78</v>
      </c>
      <c r="E71" s="971"/>
      <c r="F71" s="971"/>
      <c r="G71" s="968">
        <f>+E33</f>
        <v>148666915.65000001</v>
      </c>
      <c r="H71" s="968"/>
      <c r="I71" s="971"/>
      <c r="J71" s="969" t="s">
        <v>324</v>
      </c>
      <c r="K71" s="1032" t="s">
        <v>13</v>
      </c>
      <c r="L71" s="1006" t="s">
        <v>13</v>
      </c>
      <c r="M71" s="1044" t="s">
        <v>13</v>
      </c>
    </row>
    <row r="72" spans="1:13" ht="27.75" customHeight="1" thickBot="1" x14ac:dyDescent="0.3">
      <c r="A72" s="1000"/>
      <c r="B72" s="1077"/>
      <c r="C72" s="980"/>
      <c r="D72" s="971" t="s">
        <v>86</v>
      </c>
      <c r="E72" s="971"/>
      <c r="F72" s="971"/>
      <c r="G72" s="968">
        <f>+G33</f>
        <v>5403.777</v>
      </c>
      <c r="H72" s="968"/>
      <c r="I72" s="971"/>
      <c r="J72" s="969"/>
      <c r="K72" s="1032"/>
      <c r="L72" s="1006"/>
      <c r="M72" s="1044"/>
    </row>
    <row r="73" spans="1:13" ht="19.5" customHeight="1" thickBot="1" x14ac:dyDescent="0.25">
      <c r="A73" s="1000"/>
      <c r="B73" s="1077"/>
      <c r="C73" s="980"/>
      <c r="D73" s="971" t="s">
        <v>13</v>
      </c>
      <c r="E73" s="971"/>
      <c r="F73" s="971"/>
      <c r="G73" s="971"/>
      <c r="H73" s="971"/>
      <c r="I73" s="971"/>
      <c r="J73" s="969"/>
      <c r="K73" s="1032"/>
      <c r="L73" s="1006"/>
      <c r="M73" s="1044"/>
    </row>
    <row r="74" spans="1:13" ht="19.5" customHeight="1" thickBot="1" x14ac:dyDescent="0.25">
      <c r="A74" s="1000"/>
      <c r="B74" s="1077"/>
      <c r="C74" s="980"/>
      <c r="D74" s="971"/>
      <c r="E74" s="971"/>
      <c r="F74" s="971"/>
      <c r="G74" s="971"/>
      <c r="H74" s="971"/>
      <c r="I74" s="971"/>
      <c r="J74" s="969"/>
      <c r="K74" s="1032"/>
      <c r="L74" s="1006"/>
      <c r="M74" s="1044"/>
    </row>
    <row r="75" spans="1:13" ht="14.25" customHeight="1" thickBot="1" x14ac:dyDescent="0.25">
      <c r="A75" s="1000"/>
      <c r="B75" s="1077"/>
      <c r="C75" s="980"/>
      <c r="D75" s="971"/>
      <c r="E75" s="971"/>
      <c r="F75" s="971"/>
      <c r="G75" s="971"/>
      <c r="H75" s="971"/>
      <c r="I75" s="971"/>
      <c r="J75" s="969"/>
      <c r="K75" s="1032"/>
      <c r="L75" s="1006"/>
      <c r="M75" s="1044"/>
    </row>
    <row r="76" spans="1:13" ht="9" customHeight="1" thickBot="1" x14ac:dyDescent="0.25">
      <c r="A76" s="1000"/>
      <c r="B76" s="1078"/>
      <c r="C76" s="981"/>
      <c r="D76" s="971"/>
      <c r="E76" s="971"/>
      <c r="F76" s="971"/>
      <c r="G76" s="971"/>
      <c r="H76" s="971"/>
      <c r="I76" s="971"/>
      <c r="J76" s="969"/>
      <c r="K76" s="1032"/>
      <c r="L76" s="1006"/>
      <c r="M76" s="1044"/>
    </row>
    <row r="77" spans="1:13" ht="36.75" customHeight="1" thickBot="1" x14ac:dyDescent="0.25">
      <c r="A77" s="1000"/>
      <c r="B77" s="975" t="s">
        <v>79</v>
      </c>
      <c r="C77" s="975"/>
      <c r="D77" s="967" t="s">
        <v>71</v>
      </c>
      <c r="E77" s="967" t="s">
        <v>72</v>
      </c>
      <c r="F77" s="967"/>
      <c r="G77" s="967" t="s">
        <v>73</v>
      </c>
      <c r="H77" s="967"/>
      <c r="I77" s="999" t="s">
        <v>74</v>
      </c>
      <c r="J77" s="1033"/>
      <c r="K77" s="1033"/>
      <c r="L77" s="1033"/>
      <c r="M77" s="1084"/>
    </row>
    <row r="78" spans="1:13" ht="19.5" customHeight="1" thickBot="1" x14ac:dyDescent="0.25">
      <c r="A78" s="1000"/>
      <c r="B78" s="975"/>
      <c r="C78" s="975"/>
      <c r="D78" s="967"/>
      <c r="E78" s="967"/>
      <c r="F78" s="967"/>
      <c r="G78" s="967"/>
      <c r="H78" s="967"/>
      <c r="I78" s="999"/>
      <c r="J78" s="1033"/>
      <c r="K78" s="1033"/>
      <c r="L78" s="1033"/>
      <c r="M78" s="1084"/>
    </row>
    <row r="79" spans="1:13" ht="39.75" customHeight="1" thickBot="1" x14ac:dyDescent="0.3">
      <c r="A79" s="1000"/>
      <c r="B79" s="973" t="s">
        <v>102</v>
      </c>
      <c r="C79" s="970">
        <f>'ES CT Electric Table A  '!G22/1000</f>
        <v>60768.165000000001</v>
      </c>
      <c r="D79" s="451" t="s">
        <v>106</v>
      </c>
      <c r="E79" s="997">
        <f>'2014-24 ESCTETable D3-lftimekWh'!M16*1000</f>
        <v>377999872.75999999</v>
      </c>
      <c r="F79" s="997"/>
      <c r="G79" s="997">
        <f>'2014-24 ES CT E Table D1-kW'!M16</f>
        <v>4262.549</v>
      </c>
      <c r="H79" s="997"/>
      <c r="I79" s="449">
        <f>(E79*E85+G79*G85)/K81</f>
        <v>0.20674936099225991</v>
      </c>
      <c r="J79" s="1014" t="s">
        <v>92</v>
      </c>
      <c r="K79" s="1014" t="s">
        <v>91</v>
      </c>
      <c r="L79" s="1025">
        <f>0.21-0.0025</f>
        <v>0.20749999999999999</v>
      </c>
      <c r="M79" s="1012">
        <f>$D$11*L79</f>
        <v>1433104.4792306246</v>
      </c>
    </row>
    <row r="80" spans="1:13" ht="44.25" customHeight="1" thickBot="1" x14ac:dyDescent="0.3">
      <c r="A80" s="1000"/>
      <c r="B80" s="973"/>
      <c r="C80" s="970"/>
      <c r="D80" s="451" t="s">
        <v>97</v>
      </c>
      <c r="E80" s="997">
        <f>'2014-24 ESCTETable D3-lftimekWh'!M17*1000</f>
        <v>1109969778.5899999</v>
      </c>
      <c r="F80" s="997"/>
      <c r="G80" s="997">
        <f>'2014-24 ES CT E Table D1-kW'!M17</f>
        <v>15133.393</v>
      </c>
      <c r="H80" s="997"/>
      <c r="I80" s="449">
        <f>+(E80*E85+G80*G85)/K81</f>
        <v>0.65335946547837331</v>
      </c>
      <c r="J80" s="1014"/>
      <c r="K80" s="1014"/>
      <c r="L80" s="1025"/>
      <c r="M80" s="1012"/>
    </row>
    <row r="81" spans="1:18" ht="60.75" customHeight="1" thickBot="1" x14ac:dyDescent="0.3">
      <c r="A81" s="1000"/>
      <c r="B81" s="973"/>
      <c r="C81" s="970"/>
      <c r="D81" s="451" t="s">
        <v>217</v>
      </c>
      <c r="E81" s="997">
        <f>'2014-24 ESCTETable D3-lftimekWh'!M18*1000</f>
        <v>21032711.550000001</v>
      </c>
      <c r="F81" s="997"/>
      <c r="G81" s="997">
        <f>'2014-24 ES CT E Table D1-kW'!M18</f>
        <v>655.67399999999998</v>
      </c>
      <c r="H81" s="997"/>
      <c r="I81" s="449">
        <f>(E81*E85+G81*G85)/K81</f>
        <v>1.8901559695131048E-2</v>
      </c>
      <c r="J81" s="1014"/>
      <c r="K81" s="1004">
        <f>E86+G86</f>
        <v>235488103.09121981</v>
      </c>
      <c r="L81" s="1025"/>
      <c r="M81" s="1012"/>
    </row>
    <row r="82" spans="1:18" ht="42.75" customHeight="1" thickBot="1" x14ac:dyDescent="0.3">
      <c r="A82" s="1000"/>
      <c r="B82" s="973"/>
      <c r="C82" s="970"/>
      <c r="D82" s="451" t="s">
        <v>80</v>
      </c>
      <c r="E82" s="997">
        <f>'2014-24 ESCTETable D3-lftimekWh'!M19*1000</f>
        <v>165833042</v>
      </c>
      <c r="F82" s="997"/>
      <c r="G82" s="997">
        <f>'2014-24 ES CT E Table D1-kW'!M19</f>
        <v>3583.105</v>
      </c>
      <c r="H82" s="997"/>
      <c r="I82" s="449">
        <f>(E82*E85+G82*G85)/K81</f>
        <v>0.12098468203576129</v>
      </c>
      <c r="J82" s="1014"/>
      <c r="K82" s="1004"/>
      <c r="L82" s="1025"/>
      <c r="M82" s="1012"/>
    </row>
    <row r="83" spans="1:18" ht="18.75" customHeight="1" thickBot="1" x14ac:dyDescent="0.3">
      <c r="A83" s="1000"/>
      <c r="B83" s="973"/>
      <c r="C83" s="970"/>
      <c r="D83" s="451" t="s">
        <v>76</v>
      </c>
      <c r="E83" s="998">
        <f>ROUND(SUM(E79:E82),0)</f>
        <v>1674835405</v>
      </c>
      <c r="F83" s="998"/>
      <c r="G83" s="998">
        <f>ROUND(SUM(G79:G82),0)</f>
        <v>23635</v>
      </c>
      <c r="H83" s="998"/>
      <c r="I83" s="450"/>
      <c r="J83" s="1014"/>
      <c r="K83" s="1004"/>
      <c r="L83" s="1025"/>
      <c r="M83" s="1012"/>
    </row>
    <row r="84" spans="1:18" ht="18.75" customHeight="1" thickBot="1" x14ac:dyDescent="0.25">
      <c r="A84" s="1000"/>
      <c r="B84" s="973"/>
      <c r="C84" s="970"/>
      <c r="D84" s="969"/>
      <c r="E84" s="969"/>
      <c r="F84" s="969"/>
      <c r="G84" s="969"/>
      <c r="H84" s="969"/>
      <c r="I84" s="969"/>
      <c r="J84" s="1014"/>
      <c r="K84" s="1004"/>
      <c r="L84" s="1025"/>
      <c r="M84" s="1012"/>
    </row>
    <row r="85" spans="1:18" ht="36.75" customHeight="1" thickBot="1" x14ac:dyDescent="0.25">
      <c r="A85" s="1000"/>
      <c r="B85" s="973"/>
      <c r="C85" s="970"/>
      <c r="D85" s="451" t="s">
        <v>77</v>
      </c>
      <c r="E85" s="463">
        <f>E86/E83</f>
        <v>8.1861488933177975E-2</v>
      </c>
      <c r="F85" s="463" t="s">
        <v>4</v>
      </c>
      <c r="G85" s="464">
        <f>G86/G83</f>
        <v>4162.6225140646357</v>
      </c>
      <c r="H85" s="448" t="s">
        <v>5</v>
      </c>
      <c r="I85" s="1026"/>
      <c r="J85" s="1014"/>
      <c r="K85" s="1004"/>
      <c r="L85" s="1025"/>
      <c r="M85" s="1012"/>
    </row>
    <row r="86" spans="1:18" ht="26.25" customHeight="1" thickBot="1" x14ac:dyDescent="0.25">
      <c r="A86" s="1000"/>
      <c r="B86" s="973"/>
      <c r="C86" s="970"/>
      <c r="D86" s="452" t="s">
        <v>216</v>
      </c>
      <c r="E86" s="464">
        <f>[20]EE_Table_B!$BY$71</f>
        <v>137104519.97130215</v>
      </c>
      <c r="F86" s="465"/>
      <c r="G86" s="464">
        <f>[20]EE_Table_B!$CG$71</f>
        <v>98383583.119917661</v>
      </c>
      <c r="H86" s="448"/>
      <c r="I86" s="1027"/>
      <c r="J86" s="1014"/>
      <c r="K86" s="1004"/>
      <c r="L86" s="1025"/>
      <c r="M86" s="1012"/>
      <c r="O86" s="151">
        <f>SUM(L31:L75)</f>
        <v>0.47500000000000014</v>
      </c>
      <c r="P86" t="s">
        <v>103</v>
      </c>
      <c r="R86" s="37">
        <f>SUM(M31:M75)</f>
        <v>3280600.6151062502</v>
      </c>
    </row>
    <row r="87" spans="1:18" ht="24" customHeight="1" thickBot="1" x14ac:dyDescent="0.25">
      <c r="A87" s="1000"/>
      <c r="B87" s="973"/>
      <c r="C87" s="970"/>
      <c r="D87" s="1029" t="s">
        <v>81</v>
      </c>
      <c r="E87" s="1030"/>
      <c r="F87" s="1030"/>
      <c r="G87" s="1030"/>
      <c r="H87" s="1031"/>
      <c r="I87" s="1028"/>
      <c r="J87" s="1014"/>
      <c r="K87" s="1004"/>
      <c r="L87" s="1025"/>
      <c r="M87" s="1012"/>
      <c r="O87">
        <f>SUM(L77:L113)</f>
        <v>0.5149999999999999</v>
      </c>
      <c r="P87" t="s">
        <v>104</v>
      </c>
      <c r="R87" s="37">
        <f>SUM(M79:M113)</f>
        <v>3556861.7195362491</v>
      </c>
    </row>
    <row r="88" spans="1:18" ht="50.25" customHeight="1" thickBot="1" x14ac:dyDescent="0.25">
      <c r="A88" s="1000"/>
      <c r="B88" s="457" t="s">
        <v>87</v>
      </c>
      <c r="C88" s="453"/>
      <c r="D88" s="998" t="s">
        <v>83</v>
      </c>
      <c r="E88" s="998"/>
      <c r="F88" s="998"/>
      <c r="G88" s="998"/>
      <c r="H88" s="998"/>
      <c r="I88" s="462">
        <f>K81-C79*1000</f>
        <v>174719938.09121981</v>
      </c>
      <c r="J88" s="458"/>
      <c r="K88" s="454">
        <f>I88</f>
        <v>174719938.09121981</v>
      </c>
      <c r="L88" s="459">
        <f>0.21-0.0025</f>
        <v>0.20749999999999999</v>
      </c>
      <c r="M88" s="454">
        <f>$D$11*L88</f>
        <v>1433104.4792306246</v>
      </c>
      <c r="O88" s="543">
        <f>L114</f>
        <v>0.01</v>
      </c>
      <c r="P88" s="41" t="s">
        <v>370</v>
      </c>
      <c r="R88" s="37">
        <f>M114</f>
        <v>69065.276107499987</v>
      </c>
    </row>
    <row r="89" spans="1:18" ht="57.75" customHeight="1" thickBot="1" x14ac:dyDescent="0.25">
      <c r="A89" s="1000"/>
      <c r="B89" s="973" t="s">
        <v>317</v>
      </c>
      <c r="C89" s="970">
        <f>'ES CT Electric Table A  '!G19/1000</f>
        <v>37034.76</v>
      </c>
      <c r="D89" s="969" t="s">
        <v>352</v>
      </c>
      <c r="E89" s="969"/>
      <c r="F89" s="969"/>
      <c r="G89" s="969"/>
      <c r="H89" s="969"/>
      <c r="I89" s="969"/>
      <c r="J89" s="969" t="s">
        <v>322</v>
      </c>
      <c r="K89" s="1005" t="s">
        <v>353</v>
      </c>
      <c r="L89" s="1013">
        <v>2.5000000000000001E-2</v>
      </c>
      <c r="M89" s="1004">
        <f>$D$11*L89</f>
        <v>172663.19026874998</v>
      </c>
      <c r="O89" s="151">
        <f>SUM(O86:O88)</f>
        <v>1</v>
      </c>
      <c r="P89" t="s">
        <v>105</v>
      </c>
      <c r="R89" s="37">
        <f>SUM(R86:R88)</f>
        <v>6906527.61075</v>
      </c>
    </row>
    <row r="90" spans="1:18" ht="14.25" customHeight="1" thickBot="1" x14ac:dyDescent="0.25">
      <c r="A90" s="1000"/>
      <c r="B90" s="974"/>
      <c r="C90" s="970"/>
      <c r="D90" s="969"/>
      <c r="E90" s="969"/>
      <c r="F90" s="969"/>
      <c r="G90" s="969"/>
      <c r="H90" s="969"/>
      <c r="I90" s="969"/>
      <c r="J90" s="969"/>
      <c r="K90" s="1005"/>
      <c r="L90" s="1013"/>
      <c r="M90" s="1004"/>
      <c r="R90" s="37">
        <f>M115</f>
        <v>6906527.61075</v>
      </c>
    </row>
    <row r="91" spans="1:18" ht="93" customHeight="1" thickBot="1" x14ac:dyDescent="0.25">
      <c r="A91" s="1000"/>
      <c r="B91" s="974"/>
      <c r="C91" s="970"/>
      <c r="D91" s="969"/>
      <c r="E91" s="969"/>
      <c r="F91" s="969"/>
      <c r="G91" s="969"/>
      <c r="H91" s="969"/>
      <c r="I91" s="969"/>
      <c r="J91" s="969"/>
      <c r="K91" s="1005"/>
      <c r="L91" s="1013"/>
      <c r="M91" s="1004"/>
      <c r="R91" s="37">
        <f>R89-R90</f>
        <v>0</v>
      </c>
    </row>
    <row r="92" spans="1:18" ht="38.25" customHeight="1" thickBot="1" x14ac:dyDescent="0.25">
      <c r="A92" s="1000"/>
      <c r="B92" s="974"/>
      <c r="C92" s="970"/>
      <c r="D92" s="969"/>
      <c r="E92" s="969"/>
      <c r="F92" s="969"/>
      <c r="G92" s="969"/>
      <c r="H92" s="969"/>
      <c r="I92" s="969"/>
      <c r="J92" s="969"/>
      <c r="K92" s="1005"/>
      <c r="L92" s="1013"/>
      <c r="M92" s="1004"/>
    </row>
    <row r="93" spans="1:18" ht="18.75" customHeight="1" thickBot="1" x14ac:dyDescent="0.25">
      <c r="A93" s="1000"/>
      <c r="B93" s="974"/>
      <c r="C93" s="970"/>
      <c r="D93" s="969"/>
      <c r="E93" s="969"/>
      <c r="F93" s="969"/>
      <c r="G93" s="969"/>
      <c r="H93" s="969"/>
      <c r="I93" s="969"/>
      <c r="J93" s="969"/>
      <c r="K93" s="1005"/>
      <c r="L93" s="1013"/>
      <c r="M93" s="1004"/>
    </row>
    <row r="94" spans="1:18" ht="18.75" customHeight="1" thickBot="1" x14ac:dyDescent="0.25">
      <c r="A94" s="1000"/>
      <c r="B94" s="973" t="s">
        <v>106</v>
      </c>
      <c r="C94" s="970">
        <f>'ES CT Electric Table A  '!G18/1000</f>
        <v>10589.867</v>
      </c>
      <c r="D94" s="1015" t="s">
        <v>321</v>
      </c>
      <c r="E94" s="1015"/>
      <c r="F94" s="1015"/>
      <c r="G94" s="1015"/>
      <c r="H94" s="1015"/>
      <c r="I94" s="1015"/>
      <c r="J94" s="969" t="s">
        <v>323</v>
      </c>
      <c r="K94" s="1005" t="s">
        <v>254</v>
      </c>
      <c r="L94" s="1013">
        <v>0.02</v>
      </c>
      <c r="M94" s="1004">
        <f>$D$11*L94</f>
        <v>138130.55221499997</v>
      </c>
    </row>
    <row r="95" spans="1:18" ht="12" customHeight="1" thickBot="1" x14ac:dyDescent="0.25">
      <c r="A95" s="1000"/>
      <c r="B95" s="973"/>
      <c r="C95" s="970"/>
      <c r="D95" s="1015"/>
      <c r="E95" s="1015"/>
      <c r="F95" s="1015"/>
      <c r="G95" s="1015"/>
      <c r="H95" s="1015"/>
      <c r="I95" s="1015"/>
      <c r="J95" s="969"/>
      <c r="K95" s="1005"/>
      <c r="L95" s="1013"/>
      <c r="M95" s="1004"/>
    </row>
    <row r="96" spans="1:18" ht="21" customHeight="1" thickBot="1" x14ac:dyDescent="0.25">
      <c r="A96" s="1000"/>
      <c r="B96" s="973"/>
      <c r="C96" s="970"/>
      <c r="D96" s="1015"/>
      <c r="E96" s="1015"/>
      <c r="F96" s="1015"/>
      <c r="G96" s="1015"/>
      <c r="H96" s="1015"/>
      <c r="I96" s="1015"/>
      <c r="J96" s="969"/>
      <c r="K96" s="1005"/>
      <c r="L96" s="1013"/>
      <c r="M96" s="1004"/>
    </row>
    <row r="97" spans="1:13" ht="84" customHeight="1" thickBot="1" x14ac:dyDescent="0.25">
      <c r="A97" s="1000"/>
      <c r="B97" s="973"/>
      <c r="C97" s="970"/>
      <c r="D97" s="1015"/>
      <c r="E97" s="1015"/>
      <c r="F97" s="1015"/>
      <c r="G97" s="1015"/>
      <c r="H97" s="1015"/>
      <c r="I97" s="1015"/>
      <c r="J97" s="969"/>
      <c r="K97" s="1005"/>
      <c r="L97" s="1013"/>
      <c r="M97" s="1004"/>
    </row>
    <row r="98" spans="1:13" ht="21" customHeight="1" thickBot="1" x14ac:dyDescent="0.25">
      <c r="A98" s="1000"/>
      <c r="B98" s="973"/>
      <c r="C98" s="970"/>
      <c r="D98" s="1015"/>
      <c r="E98" s="1015"/>
      <c r="F98" s="1015"/>
      <c r="G98" s="1015"/>
      <c r="H98" s="1015"/>
      <c r="I98" s="1015"/>
      <c r="J98" s="969"/>
      <c r="K98" s="1005"/>
      <c r="L98" s="1013"/>
      <c r="M98" s="1004"/>
    </row>
    <row r="99" spans="1:13" ht="6" customHeight="1" thickBot="1" x14ac:dyDescent="0.25">
      <c r="A99" s="1000"/>
      <c r="B99" s="973"/>
      <c r="C99" s="970"/>
      <c r="D99" s="1015"/>
      <c r="E99" s="1015"/>
      <c r="F99" s="1015"/>
      <c r="G99" s="1015"/>
      <c r="H99" s="1015"/>
      <c r="I99" s="1015"/>
      <c r="J99" s="969"/>
      <c r="K99" s="1005"/>
      <c r="L99" s="1013"/>
      <c r="M99" s="1004"/>
    </row>
    <row r="100" spans="1:13" ht="38.25" customHeight="1" thickBot="1" x14ac:dyDescent="0.3">
      <c r="A100" s="1000"/>
      <c r="B100" s="974" t="s">
        <v>80</v>
      </c>
      <c r="C100" s="970">
        <f>'ES CT Electric Table A  '!G21/1000</f>
        <v>12300.906999999999</v>
      </c>
      <c r="D100" s="971" t="s">
        <v>0</v>
      </c>
      <c r="E100" s="971"/>
      <c r="F100" s="971"/>
      <c r="G100" s="972">
        <f>E82</f>
        <v>165833042</v>
      </c>
      <c r="H100" s="972"/>
      <c r="I100" s="971"/>
      <c r="J100" s="969" t="s">
        <v>324</v>
      </c>
      <c r="K100" s="971"/>
      <c r="L100" s="971"/>
      <c r="M100" s="1011"/>
    </row>
    <row r="101" spans="1:13" ht="48" customHeight="1" thickBot="1" x14ac:dyDescent="0.3">
      <c r="A101" s="1000"/>
      <c r="B101" s="974"/>
      <c r="C101" s="970"/>
      <c r="D101" s="971" t="s">
        <v>1</v>
      </c>
      <c r="E101" s="971"/>
      <c r="F101" s="971"/>
      <c r="G101" s="972">
        <f>G82</f>
        <v>3583.105</v>
      </c>
      <c r="H101" s="972"/>
      <c r="I101" s="971"/>
      <c r="J101" s="969"/>
      <c r="K101" s="971"/>
      <c r="L101" s="971"/>
      <c r="M101" s="1011"/>
    </row>
    <row r="102" spans="1:13" ht="15.75" customHeight="1" thickBot="1" x14ac:dyDescent="0.25">
      <c r="A102" s="1000"/>
      <c r="B102" s="974"/>
      <c r="C102" s="970"/>
      <c r="D102" s="969" t="s">
        <v>354</v>
      </c>
      <c r="E102" s="969"/>
      <c r="F102" s="969"/>
      <c r="G102" s="969"/>
      <c r="H102" s="969"/>
      <c r="I102" s="969"/>
      <c r="J102" s="969" t="s">
        <v>318</v>
      </c>
      <c r="K102" s="1005" t="s">
        <v>355</v>
      </c>
      <c r="L102" s="1006">
        <v>2.5000000000000001E-2</v>
      </c>
      <c r="M102" s="1004">
        <f>$D$11*L102</f>
        <v>172663.19026874998</v>
      </c>
    </row>
    <row r="103" spans="1:13" ht="30" customHeight="1" thickBot="1" x14ac:dyDescent="0.25">
      <c r="A103" s="1000"/>
      <c r="B103" s="974"/>
      <c r="C103" s="970"/>
      <c r="D103" s="969"/>
      <c r="E103" s="969"/>
      <c r="F103" s="969"/>
      <c r="G103" s="969"/>
      <c r="H103" s="969"/>
      <c r="I103" s="969"/>
      <c r="J103" s="969"/>
      <c r="K103" s="1005"/>
      <c r="L103" s="1006"/>
      <c r="M103" s="1004"/>
    </row>
    <row r="104" spans="1:13" ht="89.25" customHeight="1" thickBot="1" x14ac:dyDescent="0.25">
      <c r="A104" s="1000"/>
      <c r="B104" s="974"/>
      <c r="C104" s="970"/>
      <c r="D104" s="969"/>
      <c r="E104" s="969"/>
      <c r="F104" s="969"/>
      <c r="G104" s="969"/>
      <c r="H104" s="969"/>
      <c r="I104" s="969"/>
      <c r="J104" s="969"/>
      <c r="K104" s="1005"/>
      <c r="L104" s="1006"/>
      <c r="M104" s="1004"/>
    </row>
    <row r="105" spans="1:13" ht="21.75" customHeight="1" thickBot="1" x14ac:dyDescent="0.25">
      <c r="A105" s="1000"/>
      <c r="B105" s="1007"/>
      <c r="C105" s="970"/>
      <c r="D105" s="969"/>
      <c r="E105" s="969"/>
      <c r="F105" s="969"/>
      <c r="G105" s="969"/>
      <c r="H105" s="969"/>
      <c r="I105" s="969"/>
      <c r="J105" s="969"/>
      <c r="K105" s="1005"/>
      <c r="L105" s="1006"/>
      <c r="M105" s="1004"/>
    </row>
    <row r="106" spans="1:13" ht="4.5" customHeight="1" thickBot="1" x14ac:dyDescent="0.25">
      <c r="A106" s="1000"/>
      <c r="B106" s="1007"/>
      <c r="C106" s="970"/>
      <c r="D106" s="969"/>
      <c r="E106" s="969"/>
      <c r="F106" s="969"/>
      <c r="G106" s="969"/>
      <c r="H106" s="969"/>
      <c r="I106" s="969"/>
      <c r="J106" s="969"/>
      <c r="K106" s="1005"/>
      <c r="L106" s="1006"/>
      <c r="M106" s="1004"/>
    </row>
    <row r="107" spans="1:13" ht="48" customHeight="1" thickBot="1" x14ac:dyDescent="0.25">
      <c r="A107" s="1000"/>
      <c r="B107" s="1016" t="s">
        <v>340</v>
      </c>
      <c r="C107" s="538" t="s">
        <v>357</v>
      </c>
      <c r="D107" s="1022" t="s">
        <v>366</v>
      </c>
      <c r="E107" s="1023"/>
      <c r="F107" s="1023"/>
      <c r="G107" s="1023"/>
      <c r="H107" s="1023"/>
      <c r="I107" s="1024"/>
      <c r="J107" s="991" t="s">
        <v>365</v>
      </c>
      <c r="K107" s="532"/>
      <c r="L107" s="542">
        <v>3.7499999999999999E-3</v>
      </c>
      <c r="M107" s="531">
        <f t="shared" ref="M107:M111" si="2">$D$11*L107</f>
        <v>25899.478540312495</v>
      </c>
    </row>
    <row r="108" spans="1:13" ht="76.5" customHeight="1" thickBot="1" x14ac:dyDescent="0.25">
      <c r="A108" s="1000"/>
      <c r="B108" s="1017"/>
      <c r="C108" s="539" t="s">
        <v>358</v>
      </c>
      <c r="D108" s="1022" t="s">
        <v>367</v>
      </c>
      <c r="E108" s="1023"/>
      <c r="F108" s="1023"/>
      <c r="G108" s="1023"/>
      <c r="H108" s="1023"/>
      <c r="I108" s="1024"/>
      <c r="J108" s="1018"/>
      <c r="K108" s="532"/>
      <c r="L108" s="542">
        <v>3.7499999999999999E-3</v>
      </c>
      <c r="M108" s="531">
        <f t="shared" si="2"/>
        <v>25899.478540312495</v>
      </c>
    </row>
    <row r="109" spans="1:13" ht="48" customHeight="1" thickBot="1" x14ac:dyDescent="0.25">
      <c r="A109" s="1000"/>
      <c r="B109" s="1017"/>
      <c r="C109" s="539" t="s">
        <v>359</v>
      </c>
      <c r="D109" s="1022" t="s">
        <v>368</v>
      </c>
      <c r="E109" s="1023"/>
      <c r="F109" s="1023"/>
      <c r="G109" s="1023"/>
      <c r="H109" s="1023"/>
      <c r="I109" s="1024"/>
      <c r="J109" s="1018"/>
      <c r="K109" s="532"/>
      <c r="L109" s="542">
        <v>3.7499999999999999E-3</v>
      </c>
      <c r="M109" s="531">
        <f t="shared" si="2"/>
        <v>25899.478540312495</v>
      </c>
    </row>
    <row r="110" spans="1:13" ht="48" customHeight="1" thickBot="1" x14ac:dyDescent="0.25">
      <c r="A110" s="1000"/>
      <c r="B110" s="1017"/>
      <c r="C110" s="540" t="s">
        <v>360</v>
      </c>
      <c r="D110" s="1022" t="s">
        <v>369</v>
      </c>
      <c r="E110" s="1023"/>
      <c r="F110" s="1023"/>
      <c r="G110" s="1023"/>
      <c r="H110" s="1023"/>
      <c r="I110" s="1024"/>
      <c r="J110" s="1018"/>
      <c r="K110" s="532"/>
      <c r="L110" s="542">
        <v>3.7499999999999999E-3</v>
      </c>
      <c r="M110" s="531">
        <f t="shared" si="2"/>
        <v>25899.478540312495</v>
      </c>
    </row>
    <row r="111" spans="1:13" ht="21" customHeight="1" x14ac:dyDescent="0.2">
      <c r="A111" s="1000"/>
      <c r="B111" s="976" t="s">
        <v>151</v>
      </c>
      <c r="C111" s="979">
        <f>'ES CT Electric Table A  '!G20/1000</f>
        <v>842.63099999999997</v>
      </c>
      <c r="D111" s="982" t="s">
        <v>335</v>
      </c>
      <c r="E111" s="983"/>
      <c r="F111" s="983"/>
      <c r="G111" s="983"/>
      <c r="H111" s="983"/>
      <c r="I111" s="984"/>
      <c r="J111" s="991" t="s">
        <v>274</v>
      </c>
      <c r="K111" s="994" t="s">
        <v>356</v>
      </c>
      <c r="L111" s="1019">
        <v>1.4999999999999999E-2</v>
      </c>
      <c r="M111" s="1008">
        <f t="shared" si="2"/>
        <v>103597.91416124998</v>
      </c>
    </row>
    <row r="112" spans="1:13" ht="105" customHeight="1" x14ac:dyDescent="0.2">
      <c r="A112" s="1000"/>
      <c r="B112" s="977"/>
      <c r="C112" s="980"/>
      <c r="D112" s="985"/>
      <c r="E112" s="986"/>
      <c r="F112" s="986"/>
      <c r="G112" s="986"/>
      <c r="H112" s="986"/>
      <c r="I112" s="987"/>
      <c r="J112" s="992"/>
      <c r="K112" s="995"/>
      <c r="L112" s="1020"/>
      <c r="M112" s="1009"/>
    </row>
    <row r="113" spans="1:13" ht="21.75" customHeight="1" thickBot="1" x14ac:dyDescent="0.25">
      <c r="A113" s="1000"/>
      <c r="B113" s="978"/>
      <c r="C113" s="981"/>
      <c r="D113" s="988"/>
      <c r="E113" s="989"/>
      <c r="F113" s="989"/>
      <c r="G113" s="989"/>
      <c r="H113" s="989"/>
      <c r="I113" s="990"/>
      <c r="J113" s="993"/>
      <c r="K113" s="996"/>
      <c r="L113" s="1021"/>
      <c r="M113" s="1010"/>
    </row>
    <row r="114" spans="1:13" ht="71.25" customHeight="1" thickBot="1" x14ac:dyDescent="0.25">
      <c r="A114" s="1000"/>
      <c r="B114" s="533" t="s">
        <v>361</v>
      </c>
      <c r="C114" s="535"/>
      <c r="D114" s="1001" t="s">
        <v>362</v>
      </c>
      <c r="E114" s="1002"/>
      <c r="F114" s="1002"/>
      <c r="G114" s="1002"/>
      <c r="H114" s="1002"/>
      <c r="I114" s="1003"/>
      <c r="J114" s="534" t="s">
        <v>363</v>
      </c>
      <c r="K114" s="537" t="s">
        <v>364</v>
      </c>
      <c r="L114" s="541">
        <v>0.01</v>
      </c>
      <c r="M114" s="536">
        <f>$D$11*L114</f>
        <v>69065.276107499987</v>
      </c>
    </row>
    <row r="115" spans="1:13" ht="26.25" customHeight="1" thickBot="1" x14ac:dyDescent="0.3">
      <c r="A115" s="1000"/>
      <c r="B115" s="964" t="s">
        <v>82</v>
      </c>
      <c r="C115" s="965"/>
      <c r="D115" s="965"/>
      <c r="E115" s="965"/>
      <c r="F115" s="965"/>
      <c r="G115" s="965"/>
      <c r="H115" s="965"/>
      <c r="I115" s="965"/>
      <c r="J115" s="965"/>
      <c r="K115" s="966"/>
      <c r="L115" s="455">
        <f>SUM(L31:L114)</f>
        <v>1.0000000000000002</v>
      </c>
      <c r="M115" s="456">
        <f>SUM(M31:M114)</f>
        <v>6906527.61075</v>
      </c>
    </row>
    <row r="116" spans="1:13" ht="38.25" customHeight="1" x14ac:dyDescent="0.25">
      <c r="B116" s="58"/>
      <c r="C116" s="58"/>
      <c r="D116" s="152"/>
      <c r="E116" s="58"/>
      <c r="F116" s="58"/>
      <c r="G116" s="58"/>
      <c r="H116" s="58"/>
      <c r="I116" s="58"/>
      <c r="J116" s="58"/>
      <c r="K116" s="58"/>
      <c r="L116" s="59"/>
      <c r="M116" s="60"/>
    </row>
    <row r="117" spans="1:13" ht="21.75" customHeight="1" x14ac:dyDescent="0.25">
      <c r="B117" s="58"/>
      <c r="C117" s="58"/>
      <c r="D117" s="58"/>
      <c r="E117" s="58"/>
      <c r="F117" s="58"/>
      <c r="G117" s="58"/>
      <c r="H117" s="58"/>
      <c r="I117" s="58"/>
      <c r="J117" s="58"/>
      <c r="K117" s="58"/>
      <c r="L117" s="59"/>
      <c r="M117" s="60"/>
    </row>
    <row r="118" spans="1:13" ht="30" customHeight="1" x14ac:dyDescent="0.25">
      <c r="B118" s="58"/>
      <c r="C118" s="58"/>
      <c r="D118" s="58"/>
      <c r="E118" s="58"/>
      <c r="F118" s="58"/>
      <c r="G118" s="58"/>
      <c r="H118" s="58"/>
      <c r="I118" s="58"/>
      <c r="J118" s="58"/>
      <c r="K118" s="58"/>
      <c r="L118" s="59"/>
      <c r="M118" s="60"/>
    </row>
    <row r="119" spans="1:13" ht="18.75" customHeight="1" x14ac:dyDescent="0.25">
      <c r="B119" s="58"/>
      <c r="C119" s="58"/>
      <c r="D119" s="58"/>
      <c r="E119" s="58"/>
      <c r="F119" s="58"/>
      <c r="G119" s="58"/>
      <c r="H119" s="58"/>
      <c r="I119" s="58"/>
      <c r="J119" s="58"/>
      <c r="K119" s="58"/>
      <c r="L119" s="59"/>
      <c r="M119" s="60"/>
    </row>
    <row r="120" spans="1:13" ht="18.75" customHeight="1" x14ac:dyDescent="0.25">
      <c r="B120" s="58"/>
      <c r="C120" s="58"/>
      <c r="D120" s="58"/>
      <c r="E120" s="58"/>
      <c r="F120" s="58"/>
      <c r="G120" s="58"/>
      <c r="H120" s="58"/>
      <c r="I120" s="58"/>
      <c r="J120" s="58"/>
      <c r="K120" s="58"/>
      <c r="L120" s="59"/>
      <c r="M120" s="60"/>
    </row>
    <row r="121" spans="1:13" ht="18.75" customHeight="1" x14ac:dyDescent="0.25">
      <c r="B121" s="58"/>
      <c r="C121" s="58"/>
      <c r="D121" s="58"/>
      <c r="E121" s="58"/>
      <c r="F121" s="58"/>
      <c r="G121" s="58"/>
      <c r="H121" s="58"/>
      <c r="I121" s="58"/>
      <c r="J121" s="58"/>
      <c r="K121" s="58"/>
      <c r="L121" s="59"/>
      <c r="M121" s="60"/>
    </row>
    <row r="122" spans="1:13" ht="30.75" customHeight="1" x14ac:dyDescent="0.25">
      <c r="B122" s="58"/>
      <c r="C122" s="58"/>
      <c r="D122" s="58"/>
      <c r="E122" s="58"/>
      <c r="F122" s="58"/>
      <c r="G122" s="58"/>
      <c r="H122" s="58"/>
      <c r="I122" s="58"/>
      <c r="J122" s="58"/>
      <c r="K122" s="58"/>
      <c r="L122" s="59"/>
      <c r="M122" s="60"/>
    </row>
    <row r="123" spans="1:13" ht="18.75" customHeight="1" x14ac:dyDescent="0.25">
      <c r="B123" s="58"/>
      <c r="C123" s="58"/>
      <c r="D123" s="58"/>
      <c r="E123" s="58"/>
      <c r="F123" s="58"/>
      <c r="G123" s="58"/>
      <c r="H123" s="58"/>
      <c r="I123" s="58"/>
      <c r="J123" s="58"/>
      <c r="K123" s="58"/>
      <c r="L123" s="59"/>
      <c r="M123" s="60"/>
    </row>
    <row r="124" spans="1:13" ht="18.75" customHeight="1" x14ac:dyDescent="0.25">
      <c r="B124" s="58"/>
      <c r="C124" s="58"/>
      <c r="D124" s="58"/>
      <c r="E124" s="58"/>
      <c r="F124" s="58"/>
      <c r="G124" s="58"/>
      <c r="H124" s="58"/>
      <c r="I124" s="58"/>
      <c r="J124" s="58"/>
      <c r="K124" s="58"/>
      <c r="L124" s="59"/>
      <c r="M124" s="60"/>
    </row>
    <row r="125" spans="1:13" ht="18.75" customHeight="1" x14ac:dyDescent="0.25">
      <c r="B125" s="58"/>
      <c r="C125" s="58"/>
      <c r="D125" s="58"/>
      <c r="E125" s="58"/>
      <c r="F125" s="58"/>
      <c r="G125" s="58"/>
      <c r="H125" s="58"/>
      <c r="I125" s="58"/>
      <c r="J125" s="58"/>
      <c r="K125" s="58"/>
      <c r="L125" s="59"/>
      <c r="M125" s="60"/>
    </row>
    <row r="126" spans="1:13" ht="23.25" customHeight="1" x14ac:dyDescent="0.25">
      <c r="B126" s="58"/>
      <c r="C126" s="58"/>
      <c r="D126" s="58"/>
      <c r="E126" s="58"/>
      <c r="F126" s="58"/>
      <c r="G126" s="58"/>
      <c r="H126" s="58"/>
      <c r="I126" s="58"/>
      <c r="J126" s="58"/>
      <c r="K126" s="58"/>
      <c r="L126" s="59"/>
      <c r="M126" s="60"/>
    </row>
    <row r="127" spans="1:13" ht="19.5" customHeight="1" x14ac:dyDescent="0.25">
      <c r="B127" s="58"/>
      <c r="C127" s="58"/>
      <c r="D127" s="58"/>
      <c r="E127" s="58"/>
      <c r="F127" s="58"/>
      <c r="G127" s="58"/>
      <c r="H127" s="58"/>
      <c r="I127" s="58"/>
      <c r="J127" s="58"/>
      <c r="K127" s="58"/>
      <c r="L127" s="59"/>
      <c r="M127" s="60"/>
    </row>
    <row r="128" spans="1:13" ht="15" x14ac:dyDescent="0.25">
      <c r="B128" s="58"/>
      <c r="C128" s="58"/>
      <c r="D128" s="58"/>
      <c r="E128" s="58"/>
      <c r="F128" s="58"/>
      <c r="G128" s="58"/>
      <c r="H128" s="58"/>
      <c r="I128" s="58"/>
      <c r="J128" s="58"/>
      <c r="K128" s="58"/>
      <c r="L128" s="59"/>
      <c r="M128" s="60"/>
    </row>
    <row r="129" spans="2:13" ht="15" x14ac:dyDescent="0.25">
      <c r="B129" s="58"/>
      <c r="C129" s="58"/>
      <c r="D129" s="58"/>
      <c r="E129" s="58"/>
      <c r="F129" s="58"/>
      <c r="G129" s="58"/>
      <c r="H129" s="58"/>
      <c r="I129" s="58"/>
      <c r="J129" s="58"/>
      <c r="K129" s="58"/>
      <c r="L129" s="59"/>
      <c r="M129" s="60"/>
    </row>
    <row r="130" spans="2:13" ht="15" x14ac:dyDescent="0.25">
      <c r="B130" s="58"/>
      <c r="C130" s="58"/>
      <c r="D130" s="58"/>
      <c r="E130" s="58"/>
      <c r="F130" s="58"/>
      <c r="G130" s="58"/>
      <c r="H130" s="58"/>
      <c r="I130" s="58"/>
      <c r="J130" s="58"/>
      <c r="K130" s="58"/>
      <c r="L130" s="59"/>
      <c r="M130" s="60"/>
    </row>
    <row r="131" spans="2:13" ht="15" x14ac:dyDescent="0.25">
      <c r="B131" s="58"/>
      <c r="C131" s="58"/>
      <c r="D131" s="58"/>
      <c r="E131" s="58"/>
      <c r="F131" s="58"/>
      <c r="G131" s="58"/>
      <c r="H131" s="58"/>
      <c r="I131" s="58"/>
      <c r="J131" s="58"/>
      <c r="K131" s="58"/>
      <c r="L131" s="59"/>
      <c r="M131" s="60"/>
    </row>
    <row r="132" spans="2:13" ht="15" x14ac:dyDescent="0.25">
      <c r="B132" s="58"/>
      <c r="C132" s="58"/>
      <c r="D132" s="58"/>
      <c r="E132" s="58"/>
      <c r="F132" s="58"/>
      <c r="G132" s="58"/>
      <c r="H132" s="58"/>
      <c r="I132" s="58"/>
      <c r="J132" s="58"/>
      <c r="K132" s="58"/>
      <c r="L132" s="59"/>
      <c r="M132" s="60"/>
    </row>
    <row r="133" spans="2:13" ht="15" x14ac:dyDescent="0.25">
      <c r="B133" s="58"/>
      <c r="C133" s="58"/>
      <c r="D133" s="58"/>
      <c r="E133" s="58"/>
      <c r="F133" s="58"/>
      <c r="G133" s="58"/>
      <c r="H133" s="58"/>
      <c r="I133" s="58"/>
      <c r="J133" s="58"/>
      <c r="K133" s="58"/>
      <c r="L133" s="59"/>
      <c r="M133" s="60"/>
    </row>
    <row r="134" spans="2:13" ht="15" x14ac:dyDescent="0.25">
      <c r="B134" s="58"/>
      <c r="C134" s="58"/>
      <c r="D134" s="58"/>
      <c r="E134" s="58"/>
      <c r="F134" s="58"/>
      <c r="G134" s="58"/>
      <c r="H134" s="58"/>
      <c r="I134" s="58"/>
      <c r="J134" s="58"/>
      <c r="K134" s="58"/>
      <c r="L134" s="59"/>
      <c r="M134" s="60"/>
    </row>
    <row r="135" spans="2:13" ht="15" x14ac:dyDescent="0.25">
      <c r="B135" s="58"/>
      <c r="C135" s="58"/>
      <c r="D135" s="58"/>
      <c r="E135" s="58"/>
      <c r="F135" s="58"/>
      <c r="G135" s="58"/>
      <c r="H135" s="58"/>
      <c r="I135" s="58"/>
      <c r="J135" s="58"/>
      <c r="K135" s="58"/>
      <c r="L135" s="59"/>
      <c r="M135" s="60"/>
    </row>
    <row r="136" spans="2:13" ht="15" x14ac:dyDescent="0.25">
      <c r="B136" s="58"/>
      <c r="C136" s="58"/>
      <c r="D136" s="58"/>
      <c r="E136" s="58"/>
      <c r="F136" s="58"/>
      <c r="G136" s="58"/>
      <c r="H136" s="58"/>
      <c r="I136" s="58"/>
      <c r="J136" s="58"/>
      <c r="K136" s="58"/>
      <c r="L136" s="59"/>
      <c r="M136" s="60"/>
    </row>
    <row r="137" spans="2:13" ht="15" x14ac:dyDescent="0.25">
      <c r="B137" s="58"/>
      <c r="C137" s="58"/>
      <c r="D137" s="58"/>
      <c r="E137" s="58"/>
      <c r="F137" s="58"/>
      <c r="G137" s="58"/>
      <c r="H137" s="58"/>
      <c r="I137" s="58"/>
      <c r="J137" s="58"/>
      <c r="K137" s="58"/>
      <c r="L137" s="59"/>
      <c r="M137" s="60"/>
    </row>
    <row r="138" spans="2:13" ht="15" x14ac:dyDescent="0.25">
      <c r="B138" s="58"/>
      <c r="C138" s="58"/>
      <c r="D138" s="58"/>
      <c r="E138" s="58"/>
      <c r="F138" s="58"/>
      <c r="G138" s="58"/>
      <c r="H138" s="58"/>
      <c r="I138" s="58"/>
      <c r="J138" s="58"/>
      <c r="K138" s="58"/>
      <c r="L138" s="59"/>
      <c r="M138" s="60"/>
    </row>
    <row r="139" spans="2:13" ht="15" x14ac:dyDescent="0.25">
      <c r="B139" s="58"/>
      <c r="C139" s="58"/>
      <c r="D139" s="58"/>
      <c r="E139" s="58"/>
      <c r="F139" s="58"/>
      <c r="G139" s="58"/>
      <c r="H139" s="58"/>
      <c r="I139" s="58"/>
      <c r="J139" s="58"/>
      <c r="K139" s="58"/>
      <c r="L139" s="59"/>
      <c r="M139" s="60"/>
    </row>
  </sheetData>
  <mergeCells count="202">
    <mergeCell ref="B67:B70"/>
    <mergeCell ref="C67:C70"/>
    <mergeCell ref="J67:J70"/>
    <mergeCell ref="K67:K70"/>
    <mergeCell ref="L67:L70"/>
    <mergeCell ref="M67:M70"/>
    <mergeCell ref="D67:I70"/>
    <mergeCell ref="K79:K80"/>
    <mergeCell ref="M71:M76"/>
    <mergeCell ref="I71:I72"/>
    <mergeCell ref="D73:I76"/>
    <mergeCell ref="J71:J76"/>
    <mergeCell ref="K71:K76"/>
    <mergeCell ref="L71:L76"/>
    <mergeCell ref="C71:C76"/>
    <mergeCell ref="D71:F71"/>
    <mergeCell ref="D72:F72"/>
    <mergeCell ref="G71:H71"/>
    <mergeCell ref="K77:K78"/>
    <mergeCell ref="L77:L78"/>
    <mergeCell ref="M77:M78"/>
    <mergeCell ref="G79:H79"/>
    <mergeCell ref="B79:B87"/>
    <mergeCell ref="C79:C87"/>
    <mergeCell ref="B46:B51"/>
    <mergeCell ref="D51:I51"/>
    <mergeCell ref="B52:B58"/>
    <mergeCell ref="B59:B66"/>
    <mergeCell ref="B71:B76"/>
    <mergeCell ref="M46:M47"/>
    <mergeCell ref="L48:L50"/>
    <mergeCell ref="M48:M50"/>
    <mergeCell ref="I46:I47"/>
    <mergeCell ref="D48:I50"/>
    <mergeCell ref="J46:J47"/>
    <mergeCell ref="K46:K47"/>
    <mergeCell ref="L46:L47"/>
    <mergeCell ref="C46:C51"/>
    <mergeCell ref="D46:F46"/>
    <mergeCell ref="D47:F47"/>
    <mergeCell ref="K48:K50"/>
    <mergeCell ref="L54:L58"/>
    <mergeCell ref="C59:C66"/>
    <mergeCell ref="M59:M60"/>
    <mergeCell ref="J61:J64"/>
    <mergeCell ref="K61:K64"/>
    <mergeCell ref="L61:L64"/>
    <mergeCell ref="M61:M64"/>
    <mergeCell ref="H45:I45"/>
    <mergeCell ref="D41:I41"/>
    <mergeCell ref="D44:I44"/>
    <mergeCell ref="G43:H43"/>
    <mergeCell ref="E43:F43"/>
    <mergeCell ref="I42:I43"/>
    <mergeCell ref="M54:M58"/>
    <mergeCell ref="K54:K58"/>
    <mergeCell ref="I52:I53"/>
    <mergeCell ref="D54:I58"/>
    <mergeCell ref="J52:J53"/>
    <mergeCell ref="K52:K53"/>
    <mergeCell ref="L52:L53"/>
    <mergeCell ref="D45:G45"/>
    <mergeCell ref="G47:H47"/>
    <mergeCell ref="L31:L44"/>
    <mergeCell ref="J31:J44"/>
    <mergeCell ref="E36:F36"/>
    <mergeCell ref="E37:F37"/>
    <mergeCell ref="B31:B44"/>
    <mergeCell ref="C31:C44"/>
    <mergeCell ref="D31:I32"/>
    <mergeCell ref="E33:F33"/>
    <mergeCell ref="E34:F34"/>
    <mergeCell ref="A2:A24"/>
    <mergeCell ref="B2:M2"/>
    <mergeCell ref="B3:M4"/>
    <mergeCell ref="E6:M24"/>
    <mergeCell ref="B18:D24"/>
    <mergeCell ref="B5:M5"/>
    <mergeCell ref="B6:D6"/>
    <mergeCell ref="D26:I27"/>
    <mergeCell ref="J26:M26"/>
    <mergeCell ref="B26:C27"/>
    <mergeCell ref="A26:A51"/>
    <mergeCell ref="K31:K34"/>
    <mergeCell ref="K35:K44"/>
    <mergeCell ref="B28:M28"/>
    <mergeCell ref="B29:C30"/>
    <mergeCell ref="D29:D30"/>
    <mergeCell ref="J29:J30"/>
    <mergeCell ref="E35:F35"/>
    <mergeCell ref="G46:H46"/>
    <mergeCell ref="E29:F30"/>
    <mergeCell ref="G29:H30"/>
    <mergeCell ref="I29:I30"/>
    <mergeCell ref="G35:H35"/>
    <mergeCell ref="K29:K30"/>
    <mergeCell ref="L29:L30"/>
    <mergeCell ref="M29:M30"/>
    <mergeCell ref="L65:L66"/>
    <mergeCell ref="M65:M66"/>
    <mergeCell ref="J65:J66"/>
    <mergeCell ref="K65:K66"/>
    <mergeCell ref="D65:I66"/>
    <mergeCell ref="M31:M44"/>
    <mergeCell ref="G36:H36"/>
    <mergeCell ref="G37:H37"/>
    <mergeCell ref="G38:H38"/>
    <mergeCell ref="D39:I39"/>
    <mergeCell ref="E40:F40"/>
    <mergeCell ref="G40:H40"/>
    <mergeCell ref="E38:F38"/>
    <mergeCell ref="G33:H33"/>
    <mergeCell ref="G34:H34"/>
    <mergeCell ref="M52:M53"/>
    <mergeCell ref="J48:J50"/>
    <mergeCell ref="L79:L87"/>
    <mergeCell ref="I85:I87"/>
    <mergeCell ref="D87:H87"/>
    <mergeCell ref="I59:I60"/>
    <mergeCell ref="D61:I64"/>
    <mergeCell ref="J59:J60"/>
    <mergeCell ref="K59:K60"/>
    <mergeCell ref="L59:L60"/>
    <mergeCell ref="D59:F59"/>
    <mergeCell ref="D60:F60"/>
    <mergeCell ref="G59:H59"/>
    <mergeCell ref="G60:H60"/>
    <mergeCell ref="G80:H80"/>
    <mergeCell ref="J77:J78"/>
    <mergeCell ref="L111:L113"/>
    <mergeCell ref="C100:C106"/>
    <mergeCell ref="D100:F100"/>
    <mergeCell ref="D101:F101"/>
    <mergeCell ref="G100:H100"/>
    <mergeCell ref="G101:H101"/>
    <mergeCell ref="I100:I101"/>
    <mergeCell ref="D102:I106"/>
    <mergeCell ref="K100:K101"/>
    <mergeCell ref="L100:L101"/>
    <mergeCell ref="D110:I110"/>
    <mergeCell ref="D109:I109"/>
    <mergeCell ref="D108:I108"/>
    <mergeCell ref="D107:I107"/>
    <mergeCell ref="D88:H88"/>
    <mergeCell ref="K94:K99"/>
    <mergeCell ref="C94:C99"/>
    <mergeCell ref="B107:B110"/>
    <mergeCell ref="J107:J110"/>
    <mergeCell ref="E79:F79"/>
    <mergeCell ref="E80:F80"/>
    <mergeCell ref="E81:F81"/>
    <mergeCell ref="E82:F82"/>
    <mergeCell ref="E83:F83"/>
    <mergeCell ref="G81:H81"/>
    <mergeCell ref="A52:A76"/>
    <mergeCell ref="A77:A93"/>
    <mergeCell ref="D114:I114"/>
    <mergeCell ref="M94:M99"/>
    <mergeCell ref="J102:J106"/>
    <mergeCell ref="J100:J101"/>
    <mergeCell ref="K102:K106"/>
    <mergeCell ref="L102:L106"/>
    <mergeCell ref="B94:B99"/>
    <mergeCell ref="B100:B106"/>
    <mergeCell ref="M111:M113"/>
    <mergeCell ref="M102:M106"/>
    <mergeCell ref="M100:M101"/>
    <mergeCell ref="M79:M87"/>
    <mergeCell ref="L94:L99"/>
    <mergeCell ref="J89:J93"/>
    <mergeCell ref="K89:K93"/>
    <mergeCell ref="L89:L93"/>
    <mergeCell ref="M89:M93"/>
    <mergeCell ref="A94:A115"/>
    <mergeCell ref="J79:J87"/>
    <mergeCell ref="K81:K87"/>
    <mergeCell ref="J94:J99"/>
    <mergeCell ref="D94:I99"/>
    <mergeCell ref="B115:K115"/>
    <mergeCell ref="D77:D78"/>
    <mergeCell ref="E77:F78"/>
    <mergeCell ref="G72:H72"/>
    <mergeCell ref="J54:J58"/>
    <mergeCell ref="C52:C58"/>
    <mergeCell ref="D52:F52"/>
    <mergeCell ref="D53:F53"/>
    <mergeCell ref="G52:H52"/>
    <mergeCell ref="G53:H53"/>
    <mergeCell ref="B89:B93"/>
    <mergeCell ref="C89:C93"/>
    <mergeCell ref="D89:I93"/>
    <mergeCell ref="B77:C78"/>
    <mergeCell ref="D84:I84"/>
    <mergeCell ref="B111:B113"/>
    <mergeCell ref="C111:C113"/>
    <mergeCell ref="D111:I113"/>
    <mergeCell ref="J111:J113"/>
    <mergeCell ref="K111:K113"/>
    <mergeCell ref="G82:H82"/>
    <mergeCell ref="G83:H83"/>
    <mergeCell ref="G77:H78"/>
    <mergeCell ref="I77:I78"/>
  </mergeCells>
  <printOptions horizontalCentered="1"/>
  <pageMargins left="0" right="0" top="1" bottom="0.5" header="0.5" footer="0.5"/>
  <pageSetup scale="51" fitToHeight="5" orientation="landscape"/>
  <headerFooter alignWithMargins="0">
    <oddHeader xml:space="preserve">&amp;C&amp;"Arial,Bold"&amp;14EVERSOURCE CT ELECTRIC - 2021 PERFORMANCE INCENTIVE
&amp;"Arial,Regular"&amp;11(Some Monetary Values in Thousands of Dollars) &amp;"Arial,Bold"&amp;14
</oddHeader>
    <oddFooter xml:space="preserve">&amp;CTotals may vary due to rounding
</oddFooter>
  </headerFooter>
  <rowBreaks count="4" manualBreakCount="4">
    <brk id="25" min="1" max="12" man="1"/>
    <brk id="51" min="1" max="12" man="1"/>
    <brk id="76" max="16383" man="1"/>
    <brk id="99" min="1" max="12" man="1"/>
  </rowBreak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4A8C-CE16-4741-98DD-FA3ADE538F51}">
  <sheetPr>
    <tabColor theme="9" tint="0.39997558519241921"/>
  </sheetPr>
  <dimension ref="A2:T147"/>
  <sheetViews>
    <sheetView topLeftCell="A19" zoomScale="80" zoomScaleNormal="80" zoomScalePageLayoutView="80" workbookViewId="0">
      <selection activeCell="E43" sqref="E43:H43"/>
    </sheetView>
  </sheetViews>
  <sheetFormatPr defaultColWidth="9.140625" defaultRowHeight="12.75" x14ac:dyDescent="0.2"/>
  <cols>
    <col min="1" max="1" width="9.140625" style="751"/>
    <col min="2" max="2" width="27.7109375" style="751" customWidth="1"/>
    <col min="3" max="3" width="20.5703125" style="751" customWidth="1"/>
    <col min="4" max="4" width="26.5703125" style="751" customWidth="1"/>
    <col min="5" max="5" width="20.140625" style="751" bestFit="1" customWidth="1"/>
    <col min="6" max="6" width="15.5703125" style="751" customWidth="1"/>
    <col min="7" max="7" width="20.140625" style="751" bestFit="1" customWidth="1"/>
    <col min="8" max="8" width="8.28515625" style="751" customWidth="1"/>
    <col min="9" max="10" width="27.42578125" style="751" customWidth="1"/>
    <col min="11" max="11" width="30.7109375" style="751" customWidth="1"/>
    <col min="12" max="12" width="26.7109375" style="751" customWidth="1"/>
    <col min="13" max="13" width="13" style="721" bestFit="1" customWidth="1"/>
    <col min="14" max="15" width="17.5703125" style="612" customWidth="1"/>
    <col min="16" max="16" width="9.140625" style="751"/>
    <col min="17" max="17" width="12" style="751" customWidth="1"/>
    <col min="18" max="18" width="14.5703125" style="751" customWidth="1"/>
    <col min="19" max="19" width="18.85546875" style="751" customWidth="1"/>
    <col min="20" max="20" width="14.85546875" style="751" customWidth="1"/>
    <col min="21" max="16384" width="9.140625" style="751"/>
  </cols>
  <sheetData>
    <row r="2" spans="1:19" ht="22.5" customHeight="1" x14ac:dyDescent="0.35">
      <c r="A2" s="955"/>
      <c r="B2" s="1046" t="s">
        <v>176</v>
      </c>
      <c r="C2" s="1046"/>
      <c r="D2" s="1046"/>
      <c r="E2" s="1046"/>
      <c r="F2" s="1046"/>
      <c r="G2" s="1046"/>
      <c r="H2" s="1046"/>
      <c r="I2" s="1046"/>
      <c r="J2" s="1046"/>
      <c r="K2" s="1046"/>
      <c r="L2" s="1046"/>
      <c r="M2" s="1046"/>
      <c r="N2" s="1046"/>
      <c r="O2" s="733"/>
      <c r="P2" s="41"/>
      <c r="Q2" s="41"/>
    </row>
    <row r="3" spans="1:19" ht="24" customHeight="1" x14ac:dyDescent="0.35">
      <c r="A3" s="955"/>
      <c r="B3" s="1046" t="s">
        <v>496</v>
      </c>
      <c r="C3" s="1046"/>
      <c r="D3" s="1046"/>
      <c r="E3" s="1046"/>
      <c r="F3" s="1046"/>
      <c r="G3" s="1046"/>
      <c r="H3" s="1046"/>
      <c r="I3" s="1046"/>
      <c r="J3" s="1046"/>
      <c r="K3" s="1046"/>
      <c r="L3" s="1046"/>
      <c r="M3" s="1046"/>
      <c r="N3" s="1046"/>
      <c r="O3" s="733"/>
      <c r="P3" s="41"/>
      <c r="Q3" s="41"/>
    </row>
    <row r="4" spans="1:19" ht="9.75" customHeight="1" x14ac:dyDescent="0.35">
      <c r="A4" s="955"/>
      <c r="B4" s="1046"/>
      <c r="C4" s="1046"/>
      <c r="D4" s="1046"/>
      <c r="E4" s="1046"/>
      <c r="F4" s="1046"/>
      <c r="G4" s="1046"/>
      <c r="H4" s="1046"/>
      <c r="I4" s="1046"/>
      <c r="J4" s="1046"/>
      <c r="K4" s="1046"/>
      <c r="L4" s="1046"/>
      <c r="M4" s="1046"/>
      <c r="N4" s="1046"/>
      <c r="O4" s="733"/>
      <c r="P4" s="41"/>
      <c r="Q4" s="41"/>
    </row>
    <row r="5" spans="1:19" s="720" customFormat="1" ht="129.75" customHeight="1" x14ac:dyDescent="0.25">
      <c r="A5" s="955"/>
      <c r="B5" s="1085" t="s">
        <v>497</v>
      </c>
      <c r="C5" s="1085"/>
      <c r="D5" s="1085"/>
      <c r="E5" s="1085"/>
      <c r="F5" s="1085"/>
      <c r="G5" s="1085"/>
      <c r="H5" s="1085"/>
      <c r="I5" s="1085"/>
      <c r="J5" s="1085"/>
      <c r="K5" s="1085"/>
      <c r="L5" s="1085"/>
      <c r="M5" s="1085"/>
      <c r="N5" s="1085"/>
      <c r="O5" s="750"/>
      <c r="P5" s="148"/>
      <c r="Q5" s="148"/>
      <c r="R5" s="57"/>
      <c r="S5" s="57"/>
    </row>
    <row r="6" spans="1:19" ht="28.5" customHeight="1" x14ac:dyDescent="0.25">
      <c r="A6" s="955"/>
      <c r="B6" s="1050" t="s">
        <v>89</v>
      </c>
      <c r="C6" s="1050"/>
      <c r="D6" s="1050"/>
      <c r="E6" s="1047"/>
      <c r="F6" s="1047"/>
      <c r="G6" s="1047"/>
      <c r="H6" s="1047"/>
      <c r="I6" s="1047"/>
      <c r="J6" s="1047"/>
      <c r="K6" s="1047"/>
      <c r="L6" s="1047"/>
      <c r="M6" s="1047"/>
      <c r="N6" s="1047"/>
      <c r="O6" s="734"/>
      <c r="P6" s="41"/>
      <c r="Q6" s="41"/>
    </row>
    <row r="7" spans="1:19" ht="36.75" customHeight="1" x14ac:dyDescent="0.2">
      <c r="A7" s="955"/>
      <c r="B7" s="426" t="s">
        <v>313</v>
      </c>
      <c r="C7" s="426" t="s">
        <v>62</v>
      </c>
      <c r="D7" s="426" t="s">
        <v>63</v>
      </c>
      <c r="E7" s="1047"/>
      <c r="F7" s="1047"/>
      <c r="G7" s="1047"/>
      <c r="H7" s="1047"/>
      <c r="I7" s="1047"/>
      <c r="J7" s="1047"/>
      <c r="K7" s="1047"/>
      <c r="L7" s="1047"/>
      <c r="M7" s="1047"/>
      <c r="N7" s="1047"/>
      <c r="O7" s="734"/>
      <c r="P7" s="41"/>
      <c r="Q7" s="41"/>
    </row>
    <row r="8" spans="1:19" ht="30" customHeight="1" x14ac:dyDescent="0.2">
      <c r="A8" s="955"/>
      <c r="B8" s="743">
        <v>75</v>
      </c>
      <c r="C8" s="607">
        <v>2.5000000000000001E-2</v>
      </c>
      <c r="D8" s="429">
        <f t="shared" ref="D8:D15" si="0">C8*$C$17</f>
        <v>3906536.8327268544</v>
      </c>
      <c r="E8" s="1047"/>
      <c r="F8" s="1047"/>
      <c r="G8" s="1047"/>
      <c r="H8" s="1047"/>
      <c r="I8" s="1047"/>
      <c r="J8" s="1047"/>
      <c r="K8" s="1047"/>
      <c r="L8" s="1047"/>
      <c r="M8" s="1047"/>
      <c r="N8" s="1047"/>
      <c r="O8" s="734"/>
      <c r="P8" s="41"/>
      <c r="Q8" s="41"/>
    </row>
    <row r="9" spans="1:19" ht="30" customHeight="1" x14ac:dyDescent="0.2">
      <c r="A9" s="955"/>
      <c r="B9" s="743">
        <v>85</v>
      </c>
      <c r="C9" s="607">
        <v>3.5000000000000003E-2</v>
      </c>
      <c r="D9" s="429">
        <f t="shared" si="0"/>
        <v>5469151.5658175964</v>
      </c>
      <c r="E9" s="1047"/>
      <c r="F9" s="1047"/>
      <c r="G9" s="1047"/>
      <c r="H9" s="1047"/>
      <c r="I9" s="1047"/>
      <c r="J9" s="1047"/>
      <c r="K9" s="1047"/>
      <c r="L9" s="1047"/>
      <c r="M9" s="1047"/>
      <c r="N9" s="1047"/>
      <c r="O9" s="734"/>
      <c r="P9" s="41"/>
      <c r="Q9" s="149"/>
    </row>
    <row r="10" spans="1:19" ht="30" customHeight="1" x14ac:dyDescent="0.2">
      <c r="A10" s="955"/>
      <c r="B10" s="743">
        <v>95</v>
      </c>
      <c r="C10" s="607">
        <v>4.4999999999999998E-2</v>
      </c>
      <c r="D10" s="429">
        <f t="shared" si="0"/>
        <v>7031766.298908337</v>
      </c>
      <c r="E10" s="1047"/>
      <c r="F10" s="1047"/>
      <c r="G10" s="1047"/>
      <c r="H10" s="1047"/>
      <c r="I10" s="1047"/>
      <c r="J10" s="1047"/>
      <c r="K10" s="1047"/>
      <c r="L10" s="1047"/>
      <c r="M10" s="1047"/>
      <c r="N10" s="1047"/>
      <c r="O10" s="734"/>
      <c r="P10" s="41"/>
      <c r="Q10" s="41"/>
    </row>
    <row r="11" spans="1:19" ht="30" customHeight="1" x14ac:dyDescent="0.2">
      <c r="A11" s="955"/>
      <c r="B11" s="430">
        <v>100</v>
      </c>
      <c r="C11" s="431">
        <v>0.05</v>
      </c>
      <c r="D11" s="432">
        <f t="shared" si="0"/>
        <v>7813073.6654537087</v>
      </c>
      <c r="E11" s="1047"/>
      <c r="F11" s="1047"/>
      <c r="G11" s="1047"/>
      <c r="H11" s="1047"/>
      <c r="I11" s="1047"/>
      <c r="J11" s="1047"/>
      <c r="K11" s="1047"/>
      <c r="L11" s="1047"/>
      <c r="M11" s="1047"/>
      <c r="N11" s="1047"/>
      <c r="O11" s="734"/>
      <c r="P11" s="41"/>
      <c r="Q11" s="41"/>
    </row>
    <row r="12" spans="1:19" ht="30" customHeight="1" x14ac:dyDescent="0.2">
      <c r="A12" s="955"/>
      <c r="B12" s="743">
        <v>105</v>
      </c>
      <c r="C12" s="792">
        <v>5.2900000000000003E-2</v>
      </c>
      <c r="D12" s="429">
        <f t="shared" si="0"/>
        <v>8266231.9380500233</v>
      </c>
      <c r="E12" s="1047"/>
      <c r="F12" s="1047"/>
      <c r="G12" s="1047"/>
      <c r="H12" s="1047"/>
      <c r="I12" s="1047"/>
      <c r="J12" s="1047"/>
      <c r="K12" s="1047"/>
      <c r="L12" s="1047"/>
      <c r="M12" s="1047"/>
      <c r="N12" s="1047"/>
      <c r="O12" s="734"/>
      <c r="P12" s="41"/>
      <c r="Q12" s="41"/>
    </row>
    <row r="13" spans="1:19" ht="29.25" customHeight="1" x14ac:dyDescent="0.2">
      <c r="A13" s="955"/>
      <c r="B13" s="743">
        <v>115</v>
      </c>
      <c r="C13" s="792">
        <v>5.8599999999999999E-2</v>
      </c>
      <c r="D13" s="429">
        <f t="shared" si="0"/>
        <v>9156922.3359117452</v>
      </c>
      <c r="E13" s="1047"/>
      <c r="F13" s="1047"/>
      <c r="G13" s="1047"/>
      <c r="H13" s="1047"/>
      <c r="I13" s="1047"/>
      <c r="J13" s="1047"/>
      <c r="K13" s="1047"/>
      <c r="L13" s="1047"/>
      <c r="M13" s="1047"/>
      <c r="N13" s="1047"/>
      <c r="O13" s="734"/>
      <c r="P13" s="41"/>
      <c r="Q13" s="41"/>
    </row>
    <row r="14" spans="1:19" ht="30" customHeight="1" x14ac:dyDescent="0.2">
      <c r="A14" s="955"/>
      <c r="B14" s="790">
        <v>125</v>
      </c>
      <c r="C14" s="792">
        <v>6.4299999999999996E-2</v>
      </c>
      <c r="D14" s="429">
        <f t="shared" si="0"/>
        <v>10047612.733773468</v>
      </c>
      <c r="E14" s="1047"/>
      <c r="F14" s="1047"/>
      <c r="G14" s="1047"/>
      <c r="H14" s="1047"/>
      <c r="I14" s="1047"/>
      <c r="J14" s="1047"/>
      <c r="K14" s="1047"/>
      <c r="L14" s="1047"/>
      <c r="M14" s="1047"/>
      <c r="N14" s="1047"/>
      <c r="O14" s="734"/>
      <c r="P14" s="41"/>
      <c r="Q14" s="41"/>
    </row>
    <row r="15" spans="1:19" ht="30" customHeight="1" x14ac:dyDescent="0.2">
      <c r="A15" s="955"/>
      <c r="B15" s="790">
        <v>135</v>
      </c>
      <c r="C15" s="792">
        <v>7.0000000000000007E-2</v>
      </c>
      <c r="D15" s="429">
        <f t="shared" si="0"/>
        <v>10938303.131635193</v>
      </c>
      <c r="E15" s="1047"/>
      <c r="F15" s="1047"/>
      <c r="G15" s="1047"/>
      <c r="H15" s="1047"/>
      <c r="I15" s="1047"/>
      <c r="J15" s="1047"/>
      <c r="K15" s="1047"/>
      <c r="L15" s="1047"/>
      <c r="M15" s="1047"/>
      <c r="N15" s="1047"/>
      <c r="O15" s="734"/>
      <c r="P15" s="41"/>
      <c r="Q15" s="41"/>
    </row>
    <row r="16" spans="1:19" ht="25.5" customHeight="1" x14ac:dyDescent="0.2">
      <c r="A16" s="955"/>
      <c r="B16" s="735" t="s">
        <v>88</v>
      </c>
      <c r="C16" s="1086" t="s">
        <v>13</v>
      </c>
      <c r="D16" s="1087"/>
      <c r="E16" s="1047"/>
      <c r="F16" s="1047"/>
      <c r="G16" s="1047"/>
      <c r="H16" s="1047"/>
      <c r="I16" s="1047"/>
      <c r="J16" s="1047"/>
      <c r="K16" s="1047"/>
      <c r="L16" s="1047"/>
      <c r="M16" s="1047"/>
      <c r="N16" s="1047"/>
      <c r="O16" s="734"/>
      <c r="P16" s="41"/>
      <c r="Q16" s="41"/>
    </row>
    <row r="17" spans="1:20" s="58" customFormat="1" ht="36" customHeight="1" x14ac:dyDescent="0.25">
      <c r="A17" s="955"/>
      <c r="B17" s="700" t="s">
        <v>2</v>
      </c>
      <c r="C17" s="701">
        <f>'ES CT Electric Table A  '!J54-'ES CT Electric Table A  '!J47-'ES CT Electric Table A  '!J46-'ES CT Electric Table A  '!J45-'ES CT Electric Table A  '!J43</f>
        <v>156261473.30907416</v>
      </c>
      <c r="D17" s="433"/>
      <c r="E17" s="1047"/>
      <c r="F17" s="1047"/>
      <c r="G17" s="1047"/>
      <c r="H17" s="1047"/>
      <c r="I17" s="1047"/>
      <c r="J17" s="1047"/>
      <c r="K17" s="1047"/>
      <c r="L17" s="1047"/>
      <c r="M17" s="1047"/>
      <c r="N17" s="1047"/>
      <c r="O17" s="734"/>
    </row>
    <row r="18" spans="1:20" ht="19.5" customHeight="1" x14ac:dyDescent="0.2">
      <c r="A18" s="955"/>
      <c r="B18" s="1048" t="s">
        <v>319</v>
      </c>
      <c r="C18" s="1048"/>
      <c r="D18" s="1048"/>
      <c r="E18" s="1047"/>
      <c r="F18" s="1047"/>
      <c r="G18" s="1047"/>
      <c r="H18" s="1047"/>
      <c r="I18" s="1047"/>
      <c r="J18" s="1047"/>
      <c r="K18" s="1047"/>
      <c r="L18" s="1047"/>
      <c r="M18" s="1047"/>
      <c r="N18" s="1047"/>
      <c r="O18" s="734"/>
      <c r="P18" s="41"/>
      <c r="Q18" s="41"/>
    </row>
    <row r="19" spans="1:20" ht="19.5" customHeight="1" x14ac:dyDescent="0.2">
      <c r="A19" s="955"/>
      <c r="B19" s="1048"/>
      <c r="C19" s="1048"/>
      <c r="D19" s="1048"/>
      <c r="E19" s="1047"/>
      <c r="F19" s="1047"/>
      <c r="G19" s="1047"/>
      <c r="H19" s="1047"/>
      <c r="I19" s="1047"/>
      <c r="J19" s="1047"/>
      <c r="K19" s="1047"/>
      <c r="L19" s="1047"/>
      <c r="M19" s="1047"/>
      <c r="N19" s="1047"/>
      <c r="O19" s="734"/>
      <c r="P19" s="41"/>
      <c r="Q19" s="41"/>
    </row>
    <row r="20" spans="1:20" ht="19.5" customHeight="1" x14ac:dyDescent="0.2">
      <c r="A20" s="955"/>
      <c r="B20" s="1048"/>
      <c r="C20" s="1048"/>
      <c r="D20" s="1048"/>
      <c r="E20" s="1047"/>
      <c r="F20" s="1047"/>
      <c r="G20" s="1047"/>
      <c r="H20" s="1047"/>
      <c r="I20" s="1047"/>
      <c r="J20" s="1047"/>
      <c r="K20" s="1047"/>
      <c r="L20" s="1047"/>
      <c r="M20" s="1047"/>
      <c r="N20" s="1047"/>
      <c r="O20" s="734"/>
      <c r="P20" s="41"/>
      <c r="Q20" s="41"/>
    </row>
    <row r="21" spans="1:20" ht="7.5" customHeight="1" x14ac:dyDescent="0.2">
      <c r="A21" s="955"/>
      <c r="B21" s="1048"/>
      <c r="C21" s="1048"/>
      <c r="D21" s="1048"/>
      <c r="E21" s="1047"/>
      <c r="F21" s="1047"/>
      <c r="G21" s="1047"/>
      <c r="H21" s="1047"/>
      <c r="I21" s="1047"/>
      <c r="J21" s="1047"/>
      <c r="K21" s="1047"/>
      <c r="L21" s="1047"/>
      <c r="M21" s="1047"/>
      <c r="N21" s="1047"/>
      <c r="O21" s="734"/>
      <c r="P21" s="41"/>
      <c r="Q21" s="41"/>
    </row>
    <row r="22" spans="1:20" ht="12" hidden="1" customHeight="1" x14ac:dyDescent="0.2">
      <c r="A22" s="955"/>
      <c r="B22" s="1048"/>
      <c r="C22" s="1048"/>
      <c r="D22" s="1048"/>
      <c r="E22" s="1047"/>
      <c r="F22" s="1047"/>
      <c r="G22" s="1047"/>
      <c r="H22" s="1047"/>
      <c r="I22" s="1047"/>
      <c r="J22" s="1047"/>
      <c r="K22" s="1047"/>
      <c r="L22" s="1047"/>
      <c r="M22" s="1047"/>
      <c r="N22" s="1047"/>
      <c r="O22" s="734"/>
      <c r="P22" s="41"/>
      <c r="Q22" s="41"/>
    </row>
    <row r="23" spans="1:20" ht="43.5" hidden="1" customHeight="1" x14ac:dyDescent="0.2">
      <c r="A23" s="955"/>
      <c r="B23" s="1048"/>
      <c r="C23" s="1048"/>
      <c r="D23" s="1048"/>
      <c r="E23" s="1047"/>
      <c r="F23" s="1047"/>
      <c r="G23" s="1047"/>
      <c r="H23" s="1047"/>
      <c r="I23" s="1047"/>
      <c r="J23" s="1047"/>
      <c r="K23" s="1047"/>
      <c r="L23" s="1047"/>
      <c r="M23" s="1047"/>
      <c r="N23" s="1047"/>
      <c r="O23" s="734"/>
      <c r="P23" s="41"/>
      <c r="Q23" s="41"/>
    </row>
    <row r="24" spans="1:20" ht="18.75" hidden="1" customHeight="1" x14ac:dyDescent="0.2">
      <c r="A24" s="955"/>
      <c r="B24" s="1048"/>
      <c r="C24" s="1048"/>
      <c r="D24" s="1048"/>
      <c r="E24" s="1047"/>
      <c r="F24" s="1047"/>
      <c r="G24" s="1047"/>
      <c r="H24" s="1047"/>
      <c r="I24" s="1047"/>
      <c r="J24" s="1047"/>
      <c r="K24" s="1047"/>
      <c r="L24" s="1047"/>
      <c r="M24" s="1047"/>
      <c r="N24" s="1047"/>
      <c r="O24" s="734"/>
      <c r="P24" s="41"/>
      <c r="Q24" s="41"/>
    </row>
    <row r="25" spans="1:20" ht="21" customHeight="1" thickBot="1" x14ac:dyDescent="0.25">
      <c r="B25" s="41"/>
      <c r="C25" s="41"/>
      <c r="D25" s="41"/>
      <c r="E25" s="41"/>
      <c r="F25" s="41"/>
      <c r="G25" s="41"/>
      <c r="H25" s="41"/>
      <c r="I25" s="41"/>
      <c r="J25" s="41"/>
      <c r="K25" s="41"/>
      <c r="L25" s="41"/>
      <c r="M25" s="734"/>
      <c r="P25" s="41"/>
      <c r="Q25" s="41"/>
    </row>
    <row r="26" spans="1:20" ht="19.5" customHeight="1" thickBot="1" x14ac:dyDescent="0.25">
      <c r="A26" s="955"/>
      <c r="B26" s="1052" t="s">
        <v>64</v>
      </c>
      <c r="C26" s="1052"/>
      <c r="D26" s="1051" t="s">
        <v>65</v>
      </c>
      <c r="E26" s="1051"/>
      <c r="F26" s="1051"/>
      <c r="G26" s="1051"/>
      <c r="H26" s="1051"/>
      <c r="I26" s="1051"/>
      <c r="J26" s="736"/>
      <c r="K26" s="1052" t="s">
        <v>66</v>
      </c>
      <c r="L26" s="1052"/>
      <c r="M26" s="1052"/>
      <c r="N26" s="1052"/>
      <c r="O26" s="702"/>
      <c r="P26" s="41"/>
      <c r="Q26" s="41"/>
    </row>
    <row r="27" spans="1:20" ht="31.5" customHeight="1" thickBot="1" x14ac:dyDescent="0.25">
      <c r="A27" s="955"/>
      <c r="B27" s="1052"/>
      <c r="C27" s="1052"/>
      <c r="D27" s="1051"/>
      <c r="E27" s="1051"/>
      <c r="F27" s="1051"/>
      <c r="G27" s="1051"/>
      <c r="H27" s="1051"/>
      <c r="I27" s="1051"/>
      <c r="J27" s="736"/>
      <c r="K27" s="736" t="s">
        <v>67</v>
      </c>
      <c r="L27" s="736" t="s">
        <v>68</v>
      </c>
      <c r="M27" s="736" t="s">
        <v>69</v>
      </c>
      <c r="N27" s="461" t="s">
        <v>70</v>
      </c>
      <c r="O27" s="703"/>
      <c r="P27" s="41"/>
      <c r="Q27" s="41"/>
    </row>
    <row r="28" spans="1:20" ht="19.5" customHeight="1" thickBot="1" x14ac:dyDescent="0.25">
      <c r="A28" s="955"/>
      <c r="B28" s="1059"/>
      <c r="C28" s="1059"/>
      <c r="D28" s="1059"/>
      <c r="E28" s="1059"/>
      <c r="F28" s="1059"/>
      <c r="G28" s="1059"/>
      <c r="H28" s="1059"/>
      <c r="I28" s="1059"/>
      <c r="J28" s="1059"/>
      <c r="K28" s="1059"/>
      <c r="L28" s="1059"/>
      <c r="M28" s="1059"/>
      <c r="N28" s="1059"/>
      <c r="O28" s="704"/>
      <c r="P28" s="41"/>
      <c r="Q28" s="41"/>
    </row>
    <row r="29" spans="1:20" ht="17.25" customHeight="1" x14ac:dyDescent="0.2">
      <c r="A29" s="955"/>
      <c r="B29" s="1060" t="s">
        <v>15</v>
      </c>
      <c r="C29" s="1060"/>
      <c r="D29" s="1034" t="s">
        <v>71</v>
      </c>
      <c r="E29" s="1034" t="s">
        <v>72</v>
      </c>
      <c r="F29" s="1034"/>
      <c r="G29" s="1034" t="s">
        <v>73</v>
      </c>
      <c r="H29" s="1034"/>
      <c r="I29" s="1036" t="s">
        <v>430</v>
      </c>
      <c r="J29" s="731" t="s">
        <v>431</v>
      </c>
      <c r="K29" s="1039"/>
      <c r="L29" s="1039"/>
      <c r="M29" s="1039"/>
      <c r="N29" s="1041"/>
      <c r="O29" s="705"/>
      <c r="P29" s="41"/>
      <c r="Q29" s="41"/>
    </row>
    <row r="30" spans="1:20" ht="18.75" customHeight="1" thickBot="1" x14ac:dyDescent="0.25">
      <c r="A30" s="955"/>
      <c r="B30" s="1061"/>
      <c r="C30" s="1061"/>
      <c r="D30" s="1035"/>
      <c r="E30" s="1035"/>
      <c r="F30" s="1035"/>
      <c r="G30" s="1035"/>
      <c r="H30" s="1035"/>
      <c r="I30" s="1037"/>
      <c r="J30" s="732"/>
      <c r="K30" s="1040"/>
      <c r="L30" s="1040"/>
      <c r="M30" s="1040"/>
      <c r="N30" s="1042"/>
      <c r="O30" s="705"/>
      <c r="P30" s="41"/>
      <c r="Q30" s="41"/>
      <c r="T30" s="41"/>
    </row>
    <row r="31" spans="1:20" ht="19.5" customHeight="1" thickBot="1" x14ac:dyDescent="0.25">
      <c r="A31" s="955"/>
      <c r="B31" s="973" t="s">
        <v>314</v>
      </c>
      <c r="C31" s="970">
        <f>'ES CT Electric Table A  '!J16/1000</f>
        <v>65804.195699999997</v>
      </c>
      <c r="D31" s="1088"/>
      <c r="E31" s="1089"/>
      <c r="F31" s="1089"/>
      <c r="G31" s="1089"/>
      <c r="H31" s="1089"/>
      <c r="I31" s="1089"/>
      <c r="J31" s="1090"/>
      <c r="K31" s="1072" t="s">
        <v>471</v>
      </c>
      <c r="L31" s="1053" t="s">
        <v>472</v>
      </c>
      <c r="M31" s="1071">
        <v>0.2099</v>
      </c>
      <c r="N31" s="1043">
        <f>$D$11*M31</f>
        <v>1639964.1623787335</v>
      </c>
      <c r="O31" s="706"/>
      <c r="P31" s="41"/>
      <c r="Q31" s="41"/>
    </row>
    <row r="32" spans="1:20" ht="3.75" customHeight="1" thickBot="1" x14ac:dyDescent="0.25">
      <c r="A32" s="955"/>
      <c r="B32" s="973"/>
      <c r="C32" s="970"/>
      <c r="D32" s="1091"/>
      <c r="E32" s="1092"/>
      <c r="F32" s="1092"/>
      <c r="G32" s="1092"/>
      <c r="H32" s="1092"/>
      <c r="I32" s="1092"/>
      <c r="J32" s="1093"/>
      <c r="K32" s="1072"/>
      <c r="L32" s="1054"/>
      <c r="M32" s="1071"/>
      <c r="N32" s="1043"/>
      <c r="O32" s="706"/>
      <c r="P32" s="41"/>
      <c r="Q32" s="41"/>
    </row>
    <row r="33" spans="1:20" ht="18.75" customHeight="1" thickBot="1" x14ac:dyDescent="0.3">
      <c r="A33" s="955"/>
      <c r="B33" s="973"/>
      <c r="C33" s="970"/>
      <c r="D33" s="441" t="s">
        <v>96</v>
      </c>
      <c r="E33" s="997">
        <f>'2014-24 ESCTETable D3-lftimekWh'!$N$8*1000</f>
        <v>57755243.396293908</v>
      </c>
      <c r="F33" s="997"/>
      <c r="G33" s="1038">
        <f>'2014-24 ES CT E Table D1-kW'!$N$8</f>
        <v>1461.7628930741066</v>
      </c>
      <c r="H33" s="1038"/>
      <c r="I33" s="638">
        <f>'[18]Eversource Elect_Table_B'!U7</f>
        <v>-47397.70529854163</v>
      </c>
      <c r="J33" s="638">
        <f>'[18]Eversource Elect_Table_B'!W7</f>
        <v>-2308.2974762324702</v>
      </c>
      <c r="K33" s="1072"/>
      <c r="L33" s="1054"/>
      <c r="M33" s="1071"/>
      <c r="N33" s="1043"/>
      <c r="O33" s="707"/>
      <c r="P33" s="613"/>
      <c r="Q33" s="156"/>
      <c r="R33" s="37"/>
      <c r="S33" s="70"/>
      <c r="T33" s="37"/>
    </row>
    <row r="34" spans="1:20" ht="37.5" customHeight="1" thickBot="1" x14ac:dyDescent="0.3">
      <c r="A34" s="955"/>
      <c r="B34" s="973"/>
      <c r="C34" s="970"/>
      <c r="D34" s="441" t="s">
        <v>75</v>
      </c>
      <c r="E34" s="997">
        <f>'2014-24 ESCTETable D3-lftimekWh'!$N$9*1000</f>
        <v>64402486.84883026</v>
      </c>
      <c r="F34" s="997"/>
      <c r="G34" s="1038">
        <f>'2014-24 ES CT E Table D1-kW'!$N$9</f>
        <v>545.33392289502149</v>
      </c>
      <c r="H34" s="1038"/>
      <c r="I34" s="638">
        <f>'[18]Eversource Elect_Table_B'!U8</f>
        <v>0</v>
      </c>
      <c r="J34" s="638">
        <f>'[18]Eversource Elect_Table_B'!W8</f>
        <v>569722.461737392</v>
      </c>
      <c r="K34" s="1072"/>
      <c r="L34" s="1055"/>
      <c r="M34" s="1071"/>
      <c r="N34" s="1043"/>
      <c r="O34" s="707"/>
      <c r="P34" s="613"/>
      <c r="Q34" s="156"/>
      <c r="R34" s="37"/>
      <c r="S34" s="70"/>
      <c r="T34" s="37"/>
    </row>
    <row r="35" spans="1:20" ht="34.5" customHeight="1" thickBot="1" x14ac:dyDescent="0.3">
      <c r="A35" s="955"/>
      <c r="B35" s="973"/>
      <c r="C35" s="970"/>
      <c r="D35" s="441" t="s">
        <v>109</v>
      </c>
      <c r="E35" s="997">
        <f>'2014-24 ESCTETable D3-lftimekWh'!$N$10*1000</f>
        <v>90952856.920333087</v>
      </c>
      <c r="F35" s="997"/>
      <c r="G35" s="1038">
        <f>'2014-24 ES CT E Table D1-kW'!$N$10</f>
        <v>1773.3513745456521</v>
      </c>
      <c r="H35" s="1038"/>
      <c r="I35" s="638">
        <f>'[18]Eversource Elect_Table_B'!U9</f>
        <v>13623623.102764554</v>
      </c>
      <c r="J35" s="638">
        <f>'[18]Eversource Elect_Table_B'!W9</f>
        <v>1472924.1479270291</v>
      </c>
      <c r="K35" s="1072"/>
      <c r="L35" s="1056">
        <f>E43+G43+I43+J43</f>
        <v>143320594.88477784</v>
      </c>
      <c r="M35" s="1071"/>
      <c r="N35" s="1043"/>
      <c r="O35" s="707"/>
      <c r="P35" s="613"/>
      <c r="Q35" s="156"/>
      <c r="R35" s="37"/>
      <c r="S35" s="70"/>
      <c r="T35" s="37"/>
    </row>
    <row r="36" spans="1:20" ht="42" customHeight="1" thickBot="1" x14ac:dyDescent="0.3">
      <c r="A36" s="955"/>
      <c r="B36" s="973"/>
      <c r="C36" s="970"/>
      <c r="D36" s="754" t="s">
        <v>521</v>
      </c>
      <c r="E36" s="997">
        <f>'2014-24 ESCTETable D3-lftimekWh'!$N$11*1000</f>
        <v>107282158.19034681</v>
      </c>
      <c r="F36" s="997"/>
      <c r="G36" s="1038">
        <f>'2014-24 ES CT E Table D1-kW'!$N$11</f>
        <v>1882.8149265155776</v>
      </c>
      <c r="H36" s="1038"/>
      <c r="I36" s="638">
        <f>'[18]Eversource Elect_Table_B'!U10</f>
        <v>7014085.1495920615</v>
      </c>
      <c r="J36" s="638">
        <f>'[18]Eversource Elect_Table_B'!W10</f>
        <v>1866175.7844780723</v>
      </c>
      <c r="K36" s="1072"/>
      <c r="L36" s="1057"/>
      <c r="M36" s="1071"/>
      <c r="N36" s="1043"/>
      <c r="O36" s="707"/>
      <c r="P36" s="613"/>
      <c r="Q36" s="156"/>
      <c r="R36" s="37"/>
      <c r="S36" s="70"/>
      <c r="T36" s="37"/>
    </row>
    <row r="37" spans="1:20" ht="41.25" customHeight="1" thickBot="1" x14ac:dyDescent="0.3">
      <c r="A37" s="955"/>
      <c r="B37" s="973"/>
      <c r="C37" s="970"/>
      <c r="D37" s="441" t="s">
        <v>320</v>
      </c>
      <c r="E37" s="997">
        <f>'2014-24 ESCTETable D3-lftimekWh'!$N$12*1000</f>
        <v>38116143.217555508</v>
      </c>
      <c r="F37" s="997"/>
      <c r="G37" s="1038">
        <f>'2014-24 ES CT E Table D1-kW'!$N$12</f>
        <v>673.39734998960182</v>
      </c>
      <c r="H37" s="1038"/>
      <c r="I37" s="638">
        <f>'[18]Eversource Elect_Table_B'!U11</f>
        <v>5556780.8317573275</v>
      </c>
      <c r="J37" s="638">
        <f>'[18]Eversource Elect_Table_B'!W11</f>
        <v>510899.46161814209</v>
      </c>
      <c r="K37" s="1072"/>
      <c r="L37" s="1057"/>
      <c r="M37" s="1071"/>
      <c r="N37" s="1043"/>
      <c r="O37" s="707"/>
      <c r="P37" s="613"/>
      <c r="Q37" s="156"/>
      <c r="R37" s="37"/>
      <c r="S37" s="70"/>
      <c r="T37" s="37"/>
    </row>
    <row r="38" spans="1:20" ht="24.75" customHeight="1" thickBot="1" x14ac:dyDescent="0.3">
      <c r="A38" s="955"/>
      <c r="B38" s="973"/>
      <c r="C38" s="970"/>
      <c r="D38" s="441" t="s">
        <v>218</v>
      </c>
      <c r="E38" s="997">
        <f>'2014-24 ESCTETable D3-lftimekWh'!$N$13*1000</f>
        <v>715000</v>
      </c>
      <c r="F38" s="997"/>
      <c r="G38" s="1038">
        <f>'2014-24 ES CT E Table D1-kW'!$N$13</f>
        <v>81.621004566210047</v>
      </c>
      <c r="H38" s="1038"/>
      <c r="I38" s="638">
        <f>'[18]Eversource Elect_Table_B'!U12</f>
        <v>0</v>
      </c>
      <c r="J38" s="638">
        <f>'[18]Eversource Elect_Table_B'!W12</f>
        <v>0</v>
      </c>
      <c r="K38" s="1072"/>
      <c r="L38" s="1057"/>
      <c r="M38" s="1071"/>
      <c r="N38" s="1043"/>
      <c r="O38" s="707"/>
      <c r="P38" s="613"/>
      <c r="Q38" s="156"/>
      <c r="R38" s="37"/>
      <c r="S38" s="70"/>
      <c r="T38" s="37"/>
    </row>
    <row r="39" spans="1:20" ht="18.75" customHeight="1" thickBot="1" x14ac:dyDescent="0.25">
      <c r="A39" s="955"/>
      <c r="B39" s="973"/>
      <c r="C39" s="970"/>
      <c r="D39" s="973"/>
      <c r="E39" s="973"/>
      <c r="F39" s="973"/>
      <c r="G39" s="973"/>
      <c r="H39" s="973"/>
      <c r="I39" s="973"/>
      <c r="J39" s="723"/>
      <c r="K39" s="1072"/>
      <c r="L39" s="1057"/>
      <c r="M39" s="1071"/>
      <c r="N39" s="1043"/>
      <c r="O39" s="706"/>
      <c r="P39" s="41"/>
      <c r="Q39" s="611"/>
      <c r="R39" s="612"/>
      <c r="S39" s="611"/>
      <c r="T39" s="612"/>
    </row>
    <row r="40" spans="1:20" ht="18.75" customHeight="1" thickBot="1" x14ac:dyDescent="0.3">
      <c r="A40" s="955"/>
      <c r="B40" s="973"/>
      <c r="C40" s="970"/>
      <c r="D40" s="441" t="s">
        <v>76</v>
      </c>
      <c r="E40" s="1065">
        <f>ROUND(SUM(E33:E38),0)</f>
        <v>359223889</v>
      </c>
      <c r="F40" s="1065"/>
      <c r="G40" s="1065">
        <f>ROUND(SUM(G33:G38),0)</f>
        <v>6418</v>
      </c>
      <c r="H40" s="1065"/>
      <c r="I40" s="638">
        <f>SUM(I33:I38)</f>
        <v>26147091.378815405</v>
      </c>
      <c r="J40" s="638">
        <f>SUM(J33:J38)</f>
        <v>4417413.5582844028</v>
      </c>
      <c r="K40" s="1072"/>
      <c r="L40" s="1057"/>
      <c r="M40" s="1071"/>
      <c r="N40" s="1043"/>
      <c r="O40" s="706"/>
      <c r="P40" s="41"/>
      <c r="Q40" s="41"/>
      <c r="R40" s="614"/>
      <c r="S40" s="41"/>
      <c r="T40" s="614"/>
    </row>
    <row r="41" spans="1:20" ht="18.75" customHeight="1" thickBot="1" x14ac:dyDescent="0.25">
      <c r="A41" s="955"/>
      <c r="B41" s="973"/>
      <c r="C41" s="970"/>
      <c r="D41" s="973"/>
      <c r="E41" s="973"/>
      <c r="F41" s="973"/>
      <c r="G41" s="973"/>
      <c r="H41" s="973"/>
      <c r="I41" s="973"/>
      <c r="J41" s="723"/>
      <c r="K41" s="1072"/>
      <c r="L41" s="1057"/>
      <c r="M41" s="1071"/>
      <c r="N41" s="1043"/>
      <c r="O41" s="706"/>
      <c r="P41" s="41"/>
      <c r="Q41" s="41"/>
    </row>
    <row r="42" spans="1:20" ht="18.75" thickBot="1" x14ac:dyDescent="0.3">
      <c r="A42" s="955"/>
      <c r="B42" s="973"/>
      <c r="C42" s="970"/>
      <c r="D42" s="441" t="s">
        <v>77</v>
      </c>
      <c r="E42" s="691">
        <f>E43/E40</f>
        <v>7.8790937728189708E-2</v>
      </c>
      <c r="F42" s="676" t="s">
        <v>4</v>
      </c>
      <c r="G42" s="708">
        <f>G43/G40</f>
        <v>2520.4748612811804</v>
      </c>
      <c r="H42" s="677" t="s">
        <v>5</v>
      </c>
      <c r="I42" s="630">
        <f>I43/I40</f>
        <v>3.2112909327819499</v>
      </c>
      <c r="J42" s="630">
        <f>J43/J40</f>
        <v>3.3672832522305183</v>
      </c>
      <c r="K42" s="1072"/>
      <c r="L42" s="1057"/>
      <c r="M42" s="1071"/>
      <c r="N42" s="1043"/>
      <c r="O42" s="706"/>
      <c r="P42" s="41"/>
      <c r="Q42" s="609"/>
      <c r="R42" s="610"/>
    </row>
    <row r="43" spans="1:20" ht="21" customHeight="1" thickBot="1" x14ac:dyDescent="0.3">
      <c r="A43" s="955"/>
      <c r="B43" s="973"/>
      <c r="C43" s="970"/>
      <c r="D43" s="440" t="s">
        <v>216</v>
      </c>
      <c r="E43" s="1094">
        <f>'[18]Eversource Elect_Table_B'!$BQ$13</f>
        <v>28303587.068677131</v>
      </c>
      <c r="F43" s="1094"/>
      <c r="G43" s="1094">
        <f>'[18]Eversource Elect_Table_B'!$BY$13</f>
        <v>16176407.659702616</v>
      </c>
      <c r="H43" s="1094"/>
      <c r="I43" s="685">
        <f>'[18]Eversource Elect_Table_B'!$CC$13</f>
        <v>83965917.463411003</v>
      </c>
      <c r="J43" s="685">
        <f>'[18]Eversource Elect_Table_B'!$CD$13</f>
        <v>14874682.69298709</v>
      </c>
      <c r="K43" s="1072"/>
      <c r="L43" s="1057"/>
      <c r="M43" s="1071"/>
      <c r="N43" s="1043"/>
      <c r="O43" s="706"/>
      <c r="P43" s="41"/>
      <c r="Q43" s="41"/>
    </row>
    <row r="44" spans="1:20" ht="22.5" customHeight="1" thickBot="1" x14ac:dyDescent="0.25">
      <c r="A44" s="955"/>
      <c r="B44" s="973"/>
      <c r="C44" s="970"/>
      <c r="D44" s="1065"/>
      <c r="E44" s="1065"/>
      <c r="F44" s="1065"/>
      <c r="G44" s="1065"/>
      <c r="H44" s="1065"/>
      <c r="I44" s="1065"/>
      <c r="J44" s="739"/>
      <c r="K44" s="1072"/>
      <c r="L44" s="1058"/>
      <c r="M44" s="1071"/>
      <c r="N44" s="1043"/>
      <c r="O44" s="706"/>
      <c r="P44" s="41"/>
      <c r="Q44" s="41"/>
    </row>
    <row r="45" spans="1:20" ht="45" customHeight="1" thickBot="1" x14ac:dyDescent="0.25">
      <c r="A45" s="955"/>
      <c r="B45" s="724" t="s">
        <v>473</v>
      </c>
      <c r="C45" s="442"/>
      <c r="D45" s="1095" t="s">
        <v>474</v>
      </c>
      <c r="E45" s="1096"/>
      <c r="F45" s="1096"/>
      <c r="G45" s="1097"/>
      <c r="H45" s="1098">
        <f>L35-C31*1000</f>
        <v>77516399.184777856</v>
      </c>
      <c r="I45" s="1099"/>
      <c r="J45" s="738"/>
      <c r="K45" s="737"/>
      <c r="L45" s="726">
        <f>H45</f>
        <v>77516399.184777856</v>
      </c>
      <c r="M45" s="445">
        <v>0.2099</v>
      </c>
      <c r="N45" s="726">
        <f>$D$11*M45</f>
        <v>1639964.1623787335</v>
      </c>
      <c r="O45" s="709"/>
      <c r="P45" s="41"/>
      <c r="Q45" s="41"/>
      <c r="T45" s="37"/>
    </row>
    <row r="46" spans="1:20" ht="45" customHeight="1" thickBot="1" x14ac:dyDescent="0.25">
      <c r="A46" s="955"/>
      <c r="B46" s="976" t="s">
        <v>433</v>
      </c>
      <c r="C46" s="637">
        <f>'ES CT Electric Table A  '!J24/1000</f>
        <v>3340</v>
      </c>
      <c r="D46" s="739" t="s">
        <v>434</v>
      </c>
      <c r="E46" s="739"/>
      <c r="F46" s="739"/>
      <c r="G46" s="739">
        <f>'2014-24 ES CT E Table D1-kW'!N23</f>
        <v>15035</v>
      </c>
      <c r="H46" s="693" t="s">
        <v>73</v>
      </c>
      <c r="I46" s="738"/>
      <c r="J46" s="738"/>
      <c r="K46" s="737"/>
      <c r="L46" s="726"/>
      <c r="M46" s="445"/>
      <c r="N46" s="726"/>
      <c r="O46" s="709"/>
      <c r="P46" s="41"/>
      <c r="Q46" s="41"/>
      <c r="T46" s="37"/>
    </row>
    <row r="47" spans="1:20" ht="55.5" customHeight="1" thickBot="1" x14ac:dyDescent="0.25">
      <c r="A47" s="955"/>
      <c r="B47" s="978"/>
      <c r="C47" s="442"/>
      <c r="D47" s="739" t="s">
        <v>436</v>
      </c>
      <c r="E47" s="747">
        <f>'[18]Eversource Elect_Table_B'!$E$21*1000</f>
        <v>3307965.4157889187</v>
      </c>
      <c r="F47" s="747" t="s">
        <v>437</v>
      </c>
      <c r="G47" s="710">
        <f>E47/G46</f>
        <v>220.01765319513925</v>
      </c>
      <c r="H47" s="742" t="s">
        <v>498</v>
      </c>
      <c r="I47" s="749"/>
      <c r="J47" s="738"/>
      <c r="K47" s="724" t="s">
        <v>439</v>
      </c>
      <c r="L47" s="678">
        <f>E47</f>
        <v>3307965.4157889187</v>
      </c>
      <c r="M47" s="445">
        <v>4.4999999999999997E-3</v>
      </c>
      <c r="N47" s="726">
        <f>$D$11*M47</f>
        <v>35158.831494541686</v>
      </c>
      <c r="O47" s="709"/>
      <c r="P47" s="41"/>
      <c r="Q47" s="41"/>
      <c r="T47" s="37"/>
    </row>
    <row r="48" spans="1:20" ht="55.5" customHeight="1" thickBot="1" x14ac:dyDescent="0.25">
      <c r="A48" s="955"/>
      <c r="B48" s="725" t="s">
        <v>478</v>
      </c>
      <c r="C48" s="442"/>
      <c r="D48" s="1095" t="s">
        <v>469</v>
      </c>
      <c r="E48" s="1096"/>
      <c r="F48" s="1096"/>
      <c r="G48" s="1096"/>
      <c r="H48" s="688"/>
      <c r="I48" s="749">
        <f>E47-C46*1000</f>
        <v>-32034.584211081266</v>
      </c>
      <c r="J48" s="738"/>
      <c r="K48" s="724" t="s">
        <v>470</v>
      </c>
      <c r="L48" s="678">
        <f>L47-C46*1000</f>
        <v>-32034.584211081266</v>
      </c>
      <c r="M48" s="445">
        <v>4.4999999999999997E-3</v>
      </c>
      <c r="N48" s="726">
        <f>$D$11*M48</f>
        <v>35158.831494541686</v>
      </c>
      <c r="O48" s="709"/>
      <c r="P48" s="41"/>
      <c r="Q48" s="41"/>
      <c r="T48" s="37"/>
    </row>
    <row r="49" spans="1:17" ht="44.25" customHeight="1" thickBot="1" x14ac:dyDescent="0.3">
      <c r="A49" s="955"/>
      <c r="B49" s="1073" t="s">
        <v>109</v>
      </c>
      <c r="C49" s="979">
        <f>'ES CT Electric Table A  '!J12/1000</f>
        <v>24661.742699999999</v>
      </c>
      <c r="D49" s="1045" t="s">
        <v>3</v>
      </c>
      <c r="E49" s="1045"/>
      <c r="F49" s="1045"/>
      <c r="G49" s="1062">
        <f>E35</f>
        <v>90952856.920333087</v>
      </c>
      <c r="H49" s="1062"/>
      <c r="I49" s="1080"/>
      <c r="J49" s="1100"/>
      <c r="K49" s="1081" t="s">
        <v>324</v>
      </c>
      <c r="L49" s="970"/>
      <c r="M49" s="1082"/>
      <c r="N49" s="970"/>
      <c r="O49" s="709"/>
      <c r="P49" s="41"/>
      <c r="Q49" s="41"/>
    </row>
    <row r="50" spans="1:17" ht="36.75" customHeight="1" thickBot="1" x14ac:dyDescent="0.3">
      <c r="A50" s="955"/>
      <c r="B50" s="1074"/>
      <c r="C50" s="980"/>
      <c r="D50" s="1045" t="s">
        <v>85</v>
      </c>
      <c r="E50" s="1045"/>
      <c r="F50" s="1045"/>
      <c r="G50" s="1062">
        <f>G35</f>
        <v>1773.3513745456521</v>
      </c>
      <c r="H50" s="1062"/>
      <c r="I50" s="1080"/>
      <c r="J50" s="1101"/>
      <c r="K50" s="1081"/>
      <c r="L50" s="970"/>
      <c r="M50" s="1082"/>
      <c r="N50" s="970"/>
      <c r="O50" s="709"/>
      <c r="P50" s="41"/>
      <c r="Q50" s="41"/>
    </row>
    <row r="51" spans="1:17" ht="18.75" customHeight="1" thickBot="1" x14ac:dyDescent="0.25">
      <c r="A51" s="955"/>
      <c r="B51" s="1074"/>
      <c r="C51" s="980"/>
      <c r="D51" s="973" t="s">
        <v>499</v>
      </c>
      <c r="E51" s="973"/>
      <c r="F51" s="973"/>
      <c r="G51" s="973"/>
      <c r="H51" s="973"/>
      <c r="I51" s="973"/>
      <c r="J51" s="976"/>
      <c r="K51" s="973" t="s">
        <v>447</v>
      </c>
      <c r="L51" s="1103" t="s">
        <v>500</v>
      </c>
      <c r="M51" s="1104">
        <v>0.01</v>
      </c>
      <c r="N51" s="1105">
        <f>$D$11*M51</f>
        <v>78130.73665453709</v>
      </c>
      <c r="O51" s="432"/>
      <c r="P51" s="41"/>
      <c r="Q51" s="41"/>
    </row>
    <row r="52" spans="1:17" ht="19.5" customHeight="1" thickBot="1" x14ac:dyDescent="0.25">
      <c r="A52" s="955"/>
      <c r="B52" s="1074"/>
      <c r="C52" s="980"/>
      <c r="D52" s="973"/>
      <c r="E52" s="973"/>
      <c r="F52" s="973"/>
      <c r="G52" s="973"/>
      <c r="H52" s="973"/>
      <c r="I52" s="973"/>
      <c r="J52" s="1018"/>
      <c r="K52" s="973"/>
      <c r="L52" s="1103"/>
      <c r="M52" s="1104"/>
      <c r="N52" s="1105"/>
      <c r="O52" s="432"/>
      <c r="P52" s="41"/>
      <c r="Q52" s="41"/>
    </row>
    <row r="53" spans="1:17" s="155" customFormat="1" ht="74.25" customHeight="1" thickBot="1" x14ac:dyDescent="0.25">
      <c r="A53" s="955"/>
      <c r="B53" s="1074"/>
      <c r="C53" s="980"/>
      <c r="D53" s="973"/>
      <c r="E53" s="973"/>
      <c r="F53" s="973"/>
      <c r="G53" s="973"/>
      <c r="H53" s="973"/>
      <c r="I53" s="973"/>
      <c r="J53" s="1102"/>
      <c r="K53" s="973"/>
      <c r="L53" s="1103"/>
      <c r="M53" s="1104"/>
      <c r="N53" s="1105"/>
      <c r="O53" s="432"/>
      <c r="P53" s="154"/>
      <c r="Q53" s="154"/>
    </row>
    <row r="54" spans="1:17" s="155" customFormat="1" ht="114.75" customHeight="1" thickBot="1" x14ac:dyDescent="0.25">
      <c r="A54" s="955"/>
      <c r="B54" s="1074"/>
      <c r="C54" s="980"/>
      <c r="D54" s="1022" t="s">
        <v>501</v>
      </c>
      <c r="E54" s="1023"/>
      <c r="F54" s="1023"/>
      <c r="G54" s="1023"/>
      <c r="H54" s="1023"/>
      <c r="I54" s="1024"/>
      <c r="J54" s="723"/>
      <c r="K54" s="723" t="s">
        <v>449</v>
      </c>
      <c r="L54" s="747" t="s">
        <v>502</v>
      </c>
      <c r="M54" s="748">
        <v>0.01</v>
      </c>
      <c r="N54" s="746">
        <f>$D$11*M54</f>
        <v>78130.73665453709</v>
      </c>
      <c r="O54" s="432"/>
      <c r="P54" s="154"/>
      <c r="Q54" s="154"/>
    </row>
    <row r="55" spans="1:17" ht="95.25" customHeight="1" thickBot="1" x14ac:dyDescent="0.25">
      <c r="A55" s="955"/>
      <c r="B55" s="1075"/>
      <c r="C55" s="981"/>
      <c r="D55" s="973" t="s">
        <v>503</v>
      </c>
      <c r="E55" s="973"/>
      <c r="F55" s="973"/>
      <c r="G55" s="973"/>
      <c r="H55" s="973"/>
      <c r="I55" s="973"/>
      <c r="J55" s="723"/>
      <c r="K55" s="723" t="s">
        <v>331</v>
      </c>
      <c r="L55" s="747" t="s">
        <v>504</v>
      </c>
      <c r="M55" s="748">
        <v>0.01</v>
      </c>
      <c r="N55" s="746">
        <f>$D$11*M55</f>
        <v>78130.73665453709</v>
      </c>
      <c r="O55" s="432"/>
      <c r="P55" s="41"/>
      <c r="Q55" s="41"/>
    </row>
    <row r="56" spans="1:17" ht="55.5" customHeight="1" thickBot="1" x14ac:dyDescent="0.3">
      <c r="A56" s="1000"/>
      <c r="B56" s="973" t="s">
        <v>111</v>
      </c>
      <c r="C56" s="970">
        <f>'ES CT Electric Table A  '!J11/1000</f>
        <v>3986.3890000000001</v>
      </c>
      <c r="D56" s="1045" t="s">
        <v>3</v>
      </c>
      <c r="E56" s="1045"/>
      <c r="F56" s="1045"/>
      <c r="G56" s="1062">
        <f>E34</f>
        <v>64402486.84883026</v>
      </c>
      <c r="H56" s="1062"/>
      <c r="I56" s="1045"/>
      <c r="J56" s="1106"/>
      <c r="K56" s="1081" t="s">
        <v>315</v>
      </c>
      <c r="L56" s="974"/>
      <c r="M56" s="974" t="s">
        <v>13</v>
      </c>
      <c r="N56" s="1105" t="s">
        <v>13</v>
      </c>
      <c r="O56" s="432"/>
      <c r="P56" s="41"/>
      <c r="Q56" s="41"/>
    </row>
    <row r="57" spans="1:17" ht="25.5" customHeight="1" thickBot="1" x14ac:dyDescent="0.3">
      <c r="A57" s="1000"/>
      <c r="B57" s="1045"/>
      <c r="C57" s="970"/>
      <c r="D57" s="1045" t="s">
        <v>85</v>
      </c>
      <c r="E57" s="1045"/>
      <c r="F57" s="1045"/>
      <c r="G57" s="1062">
        <f>G34</f>
        <v>545.33392289502149</v>
      </c>
      <c r="H57" s="1062"/>
      <c r="I57" s="1045"/>
      <c r="J57" s="1107"/>
      <c r="K57" s="1081"/>
      <c r="L57" s="1078"/>
      <c r="M57" s="974"/>
      <c r="N57" s="1105"/>
      <c r="O57" s="432"/>
    </row>
    <row r="58" spans="1:17" ht="18.75" customHeight="1" thickBot="1" x14ac:dyDescent="0.25">
      <c r="A58" s="1000"/>
      <c r="B58" s="1045"/>
      <c r="C58" s="970"/>
      <c r="D58" s="973" t="s">
        <v>505</v>
      </c>
      <c r="E58" s="973"/>
      <c r="F58" s="973"/>
      <c r="G58" s="973"/>
      <c r="H58" s="973"/>
      <c r="I58" s="973"/>
      <c r="J58" s="976"/>
      <c r="K58" s="973" t="s">
        <v>272</v>
      </c>
      <c r="L58" s="1067" t="s">
        <v>506</v>
      </c>
      <c r="M58" s="1108">
        <v>0.01</v>
      </c>
      <c r="N58" s="1105">
        <f>$D$11*M58</f>
        <v>78130.73665453709</v>
      </c>
      <c r="O58" s="432"/>
    </row>
    <row r="59" spans="1:17" ht="18.75" customHeight="1" thickBot="1" x14ac:dyDescent="0.25">
      <c r="A59" s="1000"/>
      <c r="B59" s="1045"/>
      <c r="C59" s="970"/>
      <c r="D59" s="973"/>
      <c r="E59" s="973"/>
      <c r="F59" s="973"/>
      <c r="G59" s="973"/>
      <c r="H59" s="973"/>
      <c r="I59" s="973"/>
      <c r="J59" s="1018"/>
      <c r="K59" s="973"/>
      <c r="L59" s="977"/>
      <c r="M59" s="1108"/>
      <c r="N59" s="1105"/>
      <c r="O59" s="432"/>
    </row>
    <row r="60" spans="1:17" ht="33.75" customHeight="1" thickBot="1" x14ac:dyDescent="0.25">
      <c r="A60" s="1000"/>
      <c r="B60" s="1045"/>
      <c r="C60" s="970"/>
      <c r="D60" s="973"/>
      <c r="E60" s="973"/>
      <c r="F60" s="973"/>
      <c r="G60" s="973"/>
      <c r="H60" s="973"/>
      <c r="I60" s="973"/>
      <c r="J60" s="1018"/>
      <c r="K60" s="973"/>
      <c r="L60" s="977"/>
      <c r="M60" s="1108"/>
      <c r="N60" s="1105"/>
      <c r="O60" s="432"/>
    </row>
    <row r="61" spans="1:17" ht="18.75" customHeight="1" thickBot="1" x14ac:dyDescent="0.25">
      <c r="A61" s="1000"/>
      <c r="B61" s="1045"/>
      <c r="C61" s="970"/>
      <c r="D61" s="973"/>
      <c r="E61" s="973"/>
      <c r="F61" s="973"/>
      <c r="G61" s="973"/>
      <c r="H61" s="973"/>
      <c r="I61" s="973"/>
      <c r="J61" s="1018"/>
      <c r="K61" s="973"/>
      <c r="L61" s="977"/>
      <c r="M61" s="1108"/>
      <c r="N61" s="1105"/>
      <c r="O61" s="432"/>
    </row>
    <row r="62" spans="1:17" ht="46.5" customHeight="1" thickBot="1" x14ac:dyDescent="0.25">
      <c r="A62" s="1000"/>
      <c r="B62" s="1045"/>
      <c r="C62" s="970"/>
      <c r="D62" s="973"/>
      <c r="E62" s="973"/>
      <c r="F62" s="973"/>
      <c r="G62" s="973"/>
      <c r="H62" s="973"/>
      <c r="I62" s="973"/>
      <c r="J62" s="1102"/>
      <c r="K62" s="973"/>
      <c r="L62" s="978"/>
      <c r="M62" s="1108"/>
      <c r="N62" s="1105"/>
      <c r="O62" s="432"/>
    </row>
    <row r="63" spans="1:17" ht="30.75" customHeight="1" thickBot="1" x14ac:dyDescent="0.3">
      <c r="A63" s="1000"/>
      <c r="B63" s="973" t="s">
        <v>316</v>
      </c>
      <c r="C63" s="970">
        <f>'ES CT Electric Table A  '!J14/1000</f>
        <v>18444.36</v>
      </c>
      <c r="D63" s="1045" t="s">
        <v>78</v>
      </c>
      <c r="E63" s="1045"/>
      <c r="F63" s="1045"/>
      <c r="G63" s="968">
        <f>+E37</f>
        <v>38116143.217555508</v>
      </c>
      <c r="H63" s="968"/>
      <c r="I63" s="1045"/>
      <c r="J63" s="1106"/>
      <c r="K63" s="1081" t="s">
        <v>324</v>
      </c>
      <c r="L63" s="1045" t="s">
        <v>13</v>
      </c>
      <c r="M63" s="1045"/>
      <c r="N63" s="1109"/>
      <c r="O63" s="711"/>
    </row>
    <row r="64" spans="1:17" ht="38.25" customHeight="1" thickBot="1" x14ac:dyDescent="0.3">
      <c r="A64" s="1000"/>
      <c r="B64" s="974"/>
      <c r="C64" s="970"/>
      <c r="D64" s="1045" t="s">
        <v>86</v>
      </c>
      <c r="E64" s="1045"/>
      <c r="F64" s="1045"/>
      <c r="G64" s="968">
        <f>+G37</f>
        <v>673.39734998960182</v>
      </c>
      <c r="H64" s="968"/>
      <c r="I64" s="1045"/>
      <c r="J64" s="1107"/>
      <c r="K64" s="1081"/>
      <c r="L64" s="1045"/>
      <c r="M64" s="1045"/>
      <c r="N64" s="1109"/>
      <c r="O64" s="711"/>
    </row>
    <row r="65" spans="1:15" ht="18.75" customHeight="1" thickBot="1" x14ac:dyDescent="0.25">
      <c r="A65" s="1000"/>
      <c r="B65" s="974"/>
      <c r="C65" s="970"/>
      <c r="D65" s="973" t="s">
        <v>507</v>
      </c>
      <c r="E65" s="973"/>
      <c r="F65" s="973"/>
      <c r="G65" s="973"/>
      <c r="H65" s="973"/>
      <c r="I65" s="973"/>
      <c r="J65" s="976"/>
      <c r="K65" s="973" t="s">
        <v>455</v>
      </c>
      <c r="L65" s="1103" t="s">
        <v>508</v>
      </c>
      <c r="M65" s="1108">
        <v>0.01</v>
      </c>
      <c r="N65" s="1105">
        <f>$D$11*M65</f>
        <v>78130.73665453709</v>
      </c>
      <c r="O65" s="432"/>
    </row>
    <row r="66" spans="1:15" ht="18.75" customHeight="1" thickBot="1" x14ac:dyDescent="0.25">
      <c r="A66" s="1000"/>
      <c r="B66" s="974"/>
      <c r="C66" s="970"/>
      <c r="D66" s="973"/>
      <c r="E66" s="973"/>
      <c r="F66" s="973"/>
      <c r="G66" s="973"/>
      <c r="H66" s="973"/>
      <c r="I66" s="973"/>
      <c r="J66" s="1018"/>
      <c r="K66" s="973"/>
      <c r="L66" s="1103"/>
      <c r="M66" s="1108"/>
      <c r="N66" s="1105"/>
      <c r="O66" s="432"/>
    </row>
    <row r="67" spans="1:15" ht="18.75" customHeight="1" thickBot="1" x14ac:dyDescent="0.25">
      <c r="A67" s="1000"/>
      <c r="B67" s="974"/>
      <c r="C67" s="970"/>
      <c r="D67" s="973"/>
      <c r="E67" s="973"/>
      <c r="F67" s="973"/>
      <c r="G67" s="973"/>
      <c r="H67" s="973"/>
      <c r="I67" s="973"/>
      <c r="J67" s="1018"/>
      <c r="K67" s="973"/>
      <c r="L67" s="1103"/>
      <c r="M67" s="1108"/>
      <c r="N67" s="1105"/>
      <c r="O67" s="432"/>
    </row>
    <row r="68" spans="1:15" ht="57.75" customHeight="1" thickBot="1" x14ac:dyDescent="0.25">
      <c r="A68" s="1000"/>
      <c r="B68" s="974"/>
      <c r="C68" s="970"/>
      <c r="D68" s="973"/>
      <c r="E68" s="973"/>
      <c r="F68" s="973"/>
      <c r="G68" s="973"/>
      <c r="H68" s="973"/>
      <c r="I68" s="973"/>
      <c r="J68" s="1102"/>
      <c r="K68" s="973"/>
      <c r="L68" s="1103"/>
      <c r="M68" s="1108"/>
      <c r="N68" s="1105"/>
      <c r="O68" s="432"/>
    </row>
    <row r="69" spans="1:15" ht="132" customHeight="1" thickBot="1" x14ac:dyDescent="0.25">
      <c r="A69" s="1000"/>
      <c r="B69" s="974"/>
      <c r="C69" s="970"/>
      <c r="D69" s="1022" t="s">
        <v>509</v>
      </c>
      <c r="E69" s="1023"/>
      <c r="F69" s="1023"/>
      <c r="G69" s="1023"/>
      <c r="H69" s="1023"/>
      <c r="I69" s="1024"/>
      <c r="J69" s="723"/>
      <c r="K69" s="723" t="s">
        <v>458</v>
      </c>
      <c r="L69" s="747" t="s">
        <v>510</v>
      </c>
      <c r="M69" s="744">
        <v>0.01</v>
      </c>
      <c r="N69" s="746">
        <f>$D$11*M69</f>
        <v>78130.73665453709</v>
      </c>
      <c r="O69" s="432"/>
    </row>
    <row r="70" spans="1:15" ht="73.5" customHeight="1" thickBot="1" x14ac:dyDescent="0.3">
      <c r="A70" s="1000"/>
      <c r="B70" s="974"/>
      <c r="C70" s="970"/>
      <c r="D70" s="973" t="s">
        <v>537</v>
      </c>
      <c r="E70" s="973"/>
      <c r="F70" s="973"/>
      <c r="G70" s="973"/>
      <c r="H70" s="973"/>
      <c r="I70" s="973"/>
      <c r="J70" s="976"/>
      <c r="K70" s="973" t="s">
        <v>460</v>
      </c>
      <c r="L70" s="973" t="s">
        <v>529</v>
      </c>
      <c r="M70" s="1110">
        <v>0.01</v>
      </c>
      <c r="N70" s="1112">
        <f>$D$11*M70</f>
        <v>78130.73665453709</v>
      </c>
      <c r="O70" s="711"/>
    </row>
    <row r="71" spans="1:15" ht="28.5" customHeight="1" thickBot="1" x14ac:dyDescent="0.3">
      <c r="A71" s="1000"/>
      <c r="B71" s="974"/>
      <c r="C71" s="970"/>
      <c r="D71" s="973"/>
      <c r="E71" s="973"/>
      <c r="F71" s="973"/>
      <c r="G71" s="973"/>
      <c r="H71" s="973"/>
      <c r="I71" s="973"/>
      <c r="J71" s="1102"/>
      <c r="K71" s="973"/>
      <c r="L71" s="973"/>
      <c r="M71" s="1111"/>
      <c r="N71" s="1113"/>
      <c r="O71" s="711"/>
    </row>
    <row r="72" spans="1:15" ht="19.5" customHeight="1" thickBot="1" x14ac:dyDescent="0.25">
      <c r="A72" s="1000"/>
      <c r="B72" s="1077" t="s">
        <v>340</v>
      </c>
      <c r="C72" s="980"/>
      <c r="D72" s="973" t="s">
        <v>511</v>
      </c>
      <c r="E72" s="973"/>
      <c r="F72" s="973"/>
      <c r="G72" s="973"/>
      <c r="H72" s="973"/>
      <c r="I72" s="973"/>
      <c r="J72" s="1114" t="s">
        <v>13</v>
      </c>
      <c r="K72" s="973" t="s">
        <v>518</v>
      </c>
      <c r="L72" s="1081"/>
      <c r="M72" s="1108">
        <v>0.02</v>
      </c>
      <c r="N72" s="1105">
        <f>$D$11*M72</f>
        <v>156261.47330907418</v>
      </c>
      <c r="O72" s="432"/>
    </row>
    <row r="73" spans="1:15" ht="19.5" customHeight="1" thickBot="1" x14ac:dyDescent="0.25">
      <c r="A73" s="1000"/>
      <c r="B73" s="1077"/>
      <c r="C73" s="980"/>
      <c r="D73" s="973"/>
      <c r="E73" s="973"/>
      <c r="F73" s="973"/>
      <c r="G73" s="973"/>
      <c r="H73" s="973"/>
      <c r="I73" s="973"/>
      <c r="J73" s="1115"/>
      <c r="K73" s="973"/>
      <c r="L73" s="1081"/>
      <c r="M73" s="1108"/>
      <c r="N73" s="1105"/>
      <c r="O73" s="432"/>
    </row>
    <row r="74" spans="1:15" ht="14.25" customHeight="1" thickBot="1" x14ac:dyDescent="0.25">
      <c r="A74" s="1000"/>
      <c r="B74" s="1077"/>
      <c r="C74" s="980"/>
      <c r="D74" s="973"/>
      <c r="E74" s="973"/>
      <c r="F74" s="973"/>
      <c r="G74" s="973"/>
      <c r="H74" s="973"/>
      <c r="I74" s="973"/>
      <c r="J74" s="1115"/>
      <c r="K74" s="973"/>
      <c r="L74" s="1081"/>
      <c r="M74" s="1108"/>
      <c r="N74" s="1105"/>
      <c r="O74" s="432"/>
    </row>
    <row r="75" spans="1:15" ht="40.5" customHeight="1" thickBot="1" x14ac:dyDescent="0.25">
      <c r="A75" s="1000"/>
      <c r="B75" s="1078"/>
      <c r="C75" s="981"/>
      <c r="D75" s="973"/>
      <c r="E75" s="973"/>
      <c r="F75" s="973"/>
      <c r="G75" s="973"/>
      <c r="H75" s="973"/>
      <c r="I75" s="973"/>
      <c r="J75" s="1116"/>
      <c r="K75" s="973"/>
      <c r="L75" s="1081"/>
      <c r="M75" s="1108"/>
      <c r="N75" s="1105"/>
      <c r="O75" s="432"/>
    </row>
    <row r="76" spans="1:15" ht="25.5" customHeight="1" thickBot="1" x14ac:dyDescent="0.3">
      <c r="A76" s="1000"/>
      <c r="B76" s="1016" t="s">
        <v>96</v>
      </c>
      <c r="C76" s="979">
        <f>'ES CT Electric Table A  '!J10/1000</f>
        <v>4158</v>
      </c>
      <c r="D76" s="1045" t="s">
        <v>78</v>
      </c>
      <c r="E76" s="1045"/>
      <c r="F76" s="1045"/>
      <c r="G76" s="968">
        <f>+E33</f>
        <v>57755243.396293908</v>
      </c>
      <c r="H76" s="968"/>
      <c r="I76" s="1045"/>
      <c r="J76" s="1106"/>
      <c r="K76" s="973" t="s">
        <v>324</v>
      </c>
      <c r="L76" s="1081" t="s">
        <v>13</v>
      </c>
      <c r="M76" s="1108" t="s">
        <v>13</v>
      </c>
      <c r="N76" s="1105" t="s">
        <v>13</v>
      </c>
      <c r="O76" s="432"/>
    </row>
    <row r="77" spans="1:15" ht="27.75" customHeight="1" thickBot="1" x14ac:dyDescent="0.3">
      <c r="A77" s="1000"/>
      <c r="B77" s="1077"/>
      <c r="C77" s="980"/>
      <c r="D77" s="1045" t="s">
        <v>86</v>
      </c>
      <c r="E77" s="1045"/>
      <c r="F77" s="1045"/>
      <c r="G77" s="968">
        <f>+G33</f>
        <v>1461.7628930741066</v>
      </c>
      <c r="H77" s="968"/>
      <c r="I77" s="1045"/>
      <c r="J77" s="1117"/>
      <c r="K77" s="973"/>
      <c r="L77" s="1081"/>
      <c r="M77" s="1108"/>
      <c r="N77" s="1105"/>
      <c r="O77" s="432"/>
    </row>
    <row r="78" spans="1:15" ht="19.5" customHeight="1" thickBot="1" x14ac:dyDescent="0.25">
      <c r="A78" s="1000"/>
      <c r="B78" s="1077"/>
      <c r="C78" s="980"/>
      <c r="D78" s="1045" t="s">
        <v>13</v>
      </c>
      <c r="E78" s="1045"/>
      <c r="F78" s="1045"/>
      <c r="G78" s="1045"/>
      <c r="H78" s="1045"/>
      <c r="I78" s="1045"/>
      <c r="J78" s="1117"/>
      <c r="K78" s="973"/>
      <c r="L78" s="1081"/>
      <c r="M78" s="1108"/>
      <c r="N78" s="1105"/>
      <c r="O78" s="432"/>
    </row>
    <row r="79" spans="1:15" ht="19.5" customHeight="1" thickBot="1" x14ac:dyDescent="0.25">
      <c r="A79" s="1000"/>
      <c r="B79" s="1077"/>
      <c r="C79" s="980"/>
      <c r="D79" s="1045"/>
      <c r="E79" s="1045"/>
      <c r="F79" s="1045"/>
      <c r="G79" s="1045"/>
      <c r="H79" s="1045"/>
      <c r="I79" s="1045"/>
      <c r="J79" s="1117"/>
      <c r="K79" s="973"/>
      <c r="L79" s="1081"/>
      <c r="M79" s="1108"/>
      <c r="N79" s="1105"/>
      <c r="O79" s="432"/>
    </row>
    <row r="80" spans="1:15" ht="14.25" customHeight="1" thickBot="1" x14ac:dyDescent="0.25">
      <c r="A80" s="1000"/>
      <c r="B80" s="1077"/>
      <c r="C80" s="980"/>
      <c r="D80" s="1045"/>
      <c r="E80" s="1045"/>
      <c r="F80" s="1045"/>
      <c r="G80" s="1045"/>
      <c r="H80" s="1045"/>
      <c r="I80" s="1045"/>
      <c r="J80" s="1117"/>
      <c r="K80" s="973"/>
      <c r="L80" s="1081"/>
      <c r="M80" s="1108"/>
      <c r="N80" s="1105"/>
      <c r="O80" s="432"/>
    </row>
    <row r="81" spans="1:20" ht="9" customHeight="1" thickBot="1" x14ac:dyDescent="0.25">
      <c r="A81" s="1000"/>
      <c r="B81" s="1078"/>
      <c r="C81" s="981"/>
      <c r="D81" s="1045"/>
      <c r="E81" s="1045"/>
      <c r="F81" s="1045"/>
      <c r="G81" s="1045"/>
      <c r="H81" s="1045"/>
      <c r="I81" s="1045"/>
      <c r="J81" s="1107"/>
      <c r="K81" s="973"/>
      <c r="L81" s="1081"/>
      <c r="M81" s="1108"/>
      <c r="N81" s="1105"/>
      <c r="O81" s="432"/>
    </row>
    <row r="82" spans="1:20" ht="36.75" customHeight="1" thickBot="1" x14ac:dyDescent="0.25">
      <c r="A82" s="1000"/>
      <c r="B82" s="975" t="s">
        <v>79</v>
      </c>
      <c r="C82" s="975"/>
      <c r="D82" s="967" t="s">
        <v>71</v>
      </c>
      <c r="E82" s="967" t="s">
        <v>72</v>
      </c>
      <c r="F82" s="967"/>
      <c r="G82" s="967" t="s">
        <v>73</v>
      </c>
      <c r="H82" s="967"/>
      <c r="I82" s="999" t="s">
        <v>430</v>
      </c>
      <c r="J82" s="999" t="s">
        <v>432</v>
      </c>
      <c r="K82" s="1033"/>
      <c r="L82" s="1033"/>
      <c r="M82" s="1033"/>
      <c r="N82" s="1084"/>
      <c r="O82" s="705"/>
    </row>
    <row r="83" spans="1:20" ht="19.5" customHeight="1" thickBot="1" x14ac:dyDescent="0.25">
      <c r="A83" s="1000"/>
      <c r="B83" s="975"/>
      <c r="C83" s="975"/>
      <c r="D83" s="967"/>
      <c r="E83" s="967"/>
      <c r="F83" s="967"/>
      <c r="G83" s="967"/>
      <c r="H83" s="967"/>
      <c r="I83" s="999"/>
      <c r="J83" s="999"/>
      <c r="K83" s="1033"/>
      <c r="L83" s="1033"/>
      <c r="M83" s="1033"/>
      <c r="N83" s="1084"/>
      <c r="O83" s="705"/>
    </row>
    <row r="84" spans="1:20" ht="39.75" customHeight="1" thickBot="1" x14ac:dyDescent="0.3">
      <c r="A84" s="1000"/>
      <c r="B84" s="973" t="s">
        <v>102</v>
      </c>
      <c r="C84" s="970">
        <f>'ES CT Electric Table A  '!J22/1000</f>
        <v>68049.206678755436</v>
      </c>
      <c r="D84" s="441" t="s">
        <v>106</v>
      </c>
      <c r="E84" s="997">
        <f>'2014-24 ESCTETable D3-lftimekWh'!N16*1000</f>
        <v>336720952.61510825</v>
      </c>
      <c r="F84" s="997"/>
      <c r="G84" s="997">
        <f>'2014-24 ES CT E Table D1-kW'!N16</f>
        <v>5100.7189313853514</v>
      </c>
      <c r="H84" s="997"/>
      <c r="I84" s="673">
        <f>'[18]Eversource Elect_Table_B'!U15</f>
        <v>10199.999999999998</v>
      </c>
      <c r="J84" s="673">
        <f>'[18]Eversource Elect_Table_B'!W15</f>
        <v>8160.0000000000009</v>
      </c>
      <c r="K84" s="1072" t="s">
        <v>475</v>
      </c>
      <c r="L84" s="1072" t="s">
        <v>476</v>
      </c>
      <c r="M84" s="1071">
        <v>0.17449999999999999</v>
      </c>
      <c r="N84" s="1043">
        <f>$D$11*M84</f>
        <v>1363381.3546216721</v>
      </c>
      <c r="O84" s="706"/>
    </row>
    <row r="85" spans="1:20" ht="44.25" customHeight="1" thickBot="1" x14ac:dyDescent="0.3">
      <c r="A85" s="1000"/>
      <c r="B85" s="973"/>
      <c r="C85" s="970"/>
      <c r="D85" s="441" t="s">
        <v>97</v>
      </c>
      <c r="E85" s="997">
        <f>'2014-24 ESCTETable D3-lftimekWh'!N17*1000</f>
        <v>462627457.44859755</v>
      </c>
      <c r="F85" s="997"/>
      <c r="G85" s="997">
        <f>'2014-24 ES CT E Table D1-kW'!N17</f>
        <v>10882.004074061864</v>
      </c>
      <c r="H85" s="997"/>
      <c r="I85" s="673">
        <f>'[18]Eversource Elect_Table_B'!U16</f>
        <v>20280</v>
      </c>
      <c r="J85" s="673">
        <f>'[18]Eversource Elect_Table_B'!W16</f>
        <v>12168</v>
      </c>
      <c r="K85" s="1072"/>
      <c r="L85" s="1072"/>
      <c r="M85" s="1071"/>
      <c r="N85" s="1043"/>
      <c r="O85" s="706"/>
    </row>
    <row r="86" spans="1:20" ht="60.75" customHeight="1" thickBot="1" x14ac:dyDescent="0.3">
      <c r="A86" s="1000"/>
      <c r="B86" s="973"/>
      <c r="C86" s="970"/>
      <c r="D86" s="441" t="s">
        <v>217</v>
      </c>
      <c r="E86" s="997">
        <f>'2014-24 ESCTETable D3-lftimekWh'!N18*1000</f>
        <v>69172428.01646927</v>
      </c>
      <c r="F86" s="997"/>
      <c r="G86" s="997">
        <f>'2014-24 ES CT E Table D1-kW'!N18</f>
        <v>1664.4410220261354</v>
      </c>
      <c r="H86" s="997"/>
      <c r="I86" s="673">
        <f>'[18]Eversource Elect_Table_B'!U17</f>
        <v>10775.042743135007</v>
      </c>
      <c r="J86" s="673">
        <f>'[18]Eversource Elect_Table_B'!W17</f>
        <v>6465.0256458810054</v>
      </c>
      <c r="K86" s="1072"/>
      <c r="L86" s="970">
        <f>E91+G91+I91+J91</f>
        <v>138075942.63228038</v>
      </c>
      <c r="M86" s="1071"/>
      <c r="N86" s="1043"/>
      <c r="O86" s="706"/>
    </row>
    <row r="87" spans="1:20" ht="42.75" customHeight="1" thickBot="1" x14ac:dyDescent="0.3">
      <c r="A87" s="1000"/>
      <c r="B87" s="973"/>
      <c r="C87" s="970"/>
      <c r="D87" s="441" t="s">
        <v>80</v>
      </c>
      <c r="E87" s="997">
        <f>'2014-24 ESCTETable D3-lftimekWh'!N19*1000</f>
        <v>203698100.03805703</v>
      </c>
      <c r="F87" s="997"/>
      <c r="G87" s="997">
        <f>'2014-24 ES CT E Table D1-kW'!N19</f>
        <v>5248.9054608508586</v>
      </c>
      <c r="H87" s="997"/>
      <c r="I87" s="673">
        <f>'[18]Eversource Elect_Table_B'!U18</f>
        <v>12959.999999999998</v>
      </c>
      <c r="J87" s="673">
        <f>'[18]Eversource Elect_Table_B'!W18</f>
        <v>10368</v>
      </c>
      <c r="K87" s="1072"/>
      <c r="L87" s="970"/>
      <c r="M87" s="1071"/>
      <c r="N87" s="1043"/>
      <c r="O87" s="706"/>
    </row>
    <row r="88" spans="1:20" ht="18.75" customHeight="1" thickBot="1" x14ac:dyDescent="0.3">
      <c r="A88" s="1000"/>
      <c r="B88" s="973"/>
      <c r="C88" s="970"/>
      <c r="D88" s="441" t="s">
        <v>76</v>
      </c>
      <c r="E88" s="1065">
        <f>ROUND(SUM(E84:E87),0)</f>
        <v>1072218938</v>
      </c>
      <c r="F88" s="1065"/>
      <c r="G88" s="1065">
        <f>ROUND(SUM(G84:G87),0)</f>
        <v>22896</v>
      </c>
      <c r="H88" s="1065"/>
      <c r="I88" s="712">
        <f>SUM(I84:I87)</f>
        <v>54215.042743135011</v>
      </c>
      <c r="J88" s="712">
        <f>SUM(J84:J87)</f>
        <v>37161.025645881004</v>
      </c>
      <c r="K88" s="1072"/>
      <c r="L88" s="970"/>
      <c r="M88" s="1071"/>
      <c r="N88" s="1043"/>
      <c r="O88" s="706"/>
    </row>
    <row r="89" spans="1:20" ht="18.75" customHeight="1" thickBot="1" x14ac:dyDescent="0.25">
      <c r="A89" s="1000"/>
      <c r="B89" s="973"/>
      <c r="C89" s="970"/>
      <c r="D89" s="973"/>
      <c r="E89" s="973"/>
      <c r="F89" s="973"/>
      <c r="G89" s="973"/>
      <c r="H89" s="973"/>
      <c r="I89" s="973"/>
      <c r="J89" s="723"/>
      <c r="K89" s="1072"/>
      <c r="L89" s="970"/>
      <c r="M89" s="1071"/>
      <c r="N89" s="1043"/>
      <c r="O89" s="706"/>
    </row>
    <row r="90" spans="1:20" ht="36.75" customHeight="1" thickBot="1" x14ac:dyDescent="0.3">
      <c r="A90" s="1000"/>
      <c r="B90" s="973"/>
      <c r="C90" s="970"/>
      <c r="D90" s="441" t="s">
        <v>77</v>
      </c>
      <c r="E90" s="691">
        <f>E91/E88</f>
        <v>8.6061416830836096E-2</v>
      </c>
      <c r="F90" s="463" t="s">
        <v>4</v>
      </c>
      <c r="G90" s="708">
        <f>G91/G88</f>
        <v>1987.9556958005282</v>
      </c>
      <c r="H90" s="723" t="s">
        <v>5</v>
      </c>
      <c r="I90" s="630">
        <f>I91/I88</f>
        <v>2.9161909231018592</v>
      </c>
      <c r="J90" s="630">
        <f>J91/J88</f>
        <v>3.3617653544989929</v>
      </c>
      <c r="K90" s="1072"/>
      <c r="L90" s="970"/>
      <c r="M90" s="1071"/>
      <c r="N90" s="1043"/>
      <c r="O90" s="706"/>
    </row>
    <row r="91" spans="1:20" ht="26.25" customHeight="1" thickBot="1" x14ac:dyDescent="0.3">
      <c r="A91" s="1000"/>
      <c r="B91" s="973"/>
      <c r="C91" s="970"/>
      <c r="D91" s="440" t="s">
        <v>216</v>
      </c>
      <c r="E91" s="740">
        <f>'[18]Eversource Elect_Table_B'!$BQ$19</f>
        <v>92276680.957134411</v>
      </c>
      <c r="F91" s="739"/>
      <c r="G91" s="740">
        <f>'[18]Eversource Elect_Table_B'!$BY$19</f>
        <v>45516233.611048892</v>
      </c>
      <c r="H91" s="723"/>
      <c r="I91" s="685">
        <f>'[18]Eversource Elect_Table_B'!$CC$19</f>
        <v>158101.41554310964</v>
      </c>
      <c r="J91" s="685">
        <f>'[18]Eversource Elect_Table_B'!$CD$19</f>
        <v>124926.64855397132</v>
      </c>
      <c r="K91" s="1072"/>
      <c r="L91" s="970"/>
      <c r="M91" s="1071"/>
      <c r="N91" s="1043"/>
      <c r="O91" s="706"/>
      <c r="Q91" s="151">
        <f>SUM(M31:M80)</f>
        <v>0.51880000000000004</v>
      </c>
      <c r="R91" s="751" t="s">
        <v>103</v>
      </c>
      <c r="T91" s="37">
        <f>SUM(N31:N80)</f>
        <v>4053422.6176373856</v>
      </c>
    </row>
    <row r="92" spans="1:20" ht="24" customHeight="1" thickBot="1" x14ac:dyDescent="0.3">
      <c r="A92" s="1000"/>
      <c r="B92" s="973"/>
      <c r="C92" s="970"/>
      <c r="D92" s="1118" t="s">
        <v>81</v>
      </c>
      <c r="E92" s="1119"/>
      <c r="F92" s="1119"/>
      <c r="G92" s="1119"/>
      <c r="H92" s="1120"/>
      <c r="I92" s="713"/>
      <c r="J92" s="713"/>
      <c r="K92" s="1072"/>
      <c r="L92" s="970"/>
      <c r="M92" s="1071"/>
      <c r="N92" s="1043"/>
      <c r="O92" s="706"/>
      <c r="Q92" s="751">
        <f>SUM(M82:M121)</f>
        <v>0.47119999999999995</v>
      </c>
      <c r="R92" s="751" t="s">
        <v>104</v>
      </c>
      <c r="T92" s="37">
        <f>SUM(N84:N121)</f>
        <v>3681520.3111617882</v>
      </c>
    </row>
    <row r="93" spans="1:20" ht="50.25" customHeight="1" thickBot="1" x14ac:dyDescent="0.25">
      <c r="A93" s="1000"/>
      <c r="B93" s="741" t="s">
        <v>477</v>
      </c>
      <c r="C93" s="453"/>
      <c r="D93" s="1065" t="s">
        <v>474</v>
      </c>
      <c r="E93" s="1065"/>
      <c r="F93" s="1065"/>
      <c r="G93" s="1065"/>
      <c r="H93" s="1065"/>
      <c r="I93" s="742">
        <f>L86-C84*1000</f>
        <v>70026735.953524947</v>
      </c>
      <c r="J93" s="742"/>
      <c r="K93" s="741"/>
      <c r="L93" s="722">
        <f>I93</f>
        <v>70026735.953524947</v>
      </c>
      <c r="M93" s="745">
        <v>0.17449999999999999</v>
      </c>
      <c r="N93" s="722">
        <f>$D$11*M93</f>
        <v>1363381.3546216721</v>
      </c>
      <c r="O93" s="709"/>
      <c r="Q93" s="543">
        <f>M122</f>
        <v>0.01</v>
      </c>
      <c r="R93" s="41" t="s">
        <v>370</v>
      </c>
      <c r="T93" s="37">
        <f>N122</f>
        <v>78130.73665453709</v>
      </c>
    </row>
    <row r="94" spans="1:20" ht="45" customHeight="1" thickBot="1" x14ac:dyDescent="0.25">
      <c r="A94" s="1000"/>
      <c r="B94" s="976" t="s">
        <v>462</v>
      </c>
      <c r="C94" s="637">
        <f>'ES CT Electric Table A  '!J25/1000</f>
        <v>4753</v>
      </c>
      <c r="D94" s="739" t="s">
        <v>463</v>
      </c>
      <c r="E94" s="739"/>
      <c r="F94" s="739"/>
      <c r="G94" s="739">
        <f>'[18]Eversource Elect_Table_B'!$O$22</f>
        <v>78100</v>
      </c>
      <c r="H94" s="693" t="s">
        <v>73</v>
      </c>
      <c r="I94" s="738"/>
      <c r="J94" s="738"/>
      <c r="K94" s="737"/>
      <c r="L94" s="726"/>
      <c r="M94" s="445"/>
      <c r="N94" s="726"/>
      <c r="O94" s="709"/>
      <c r="P94" s="41"/>
      <c r="Q94" s="639">
        <f>SUM(Q91:Q93)</f>
        <v>1</v>
      </c>
      <c r="R94" s="751" t="s">
        <v>105</v>
      </c>
      <c r="T94" s="37">
        <f>SUM(T91:T93)</f>
        <v>7813073.6654537106</v>
      </c>
    </row>
    <row r="95" spans="1:20" ht="52.5" customHeight="1" thickBot="1" x14ac:dyDescent="0.25">
      <c r="A95" s="1000"/>
      <c r="B95" s="978"/>
      <c r="C95" s="442"/>
      <c r="D95" s="739" t="s">
        <v>464</v>
      </c>
      <c r="E95" s="714">
        <f>'[18]Eversource Elect_Table_B'!$E$22*1000</f>
        <v>10276470.094837256</v>
      </c>
      <c r="F95" s="739" t="s">
        <v>465</v>
      </c>
      <c r="G95" s="715">
        <f>E95/G94</f>
        <v>131.58092310931184</v>
      </c>
      <c r="H95" s="693" t="s">
        <v>498</v>
      </c>
      <c r="I95" s="738"/>
      <c r="J95" s="738"/>
      <c r="K95" s="724" t="s">
        <v>466</v>
      </c>
      <c r="L95" s="678">
        <f>E95</f>
        <v>10276470.094837256</v>
      </c>
      <c r="M95" s="445">
        <v>1.11E-2</v>
      </c>
      <c r="N95" s="726">
        <f>$D$11*M95</f>
        <v>86725.117686536178</v>
      </c>
      <c r="O95" s="709"/>
      <c r="P95" s="41"/>
      <c r="Q95" s="41"/>
      <c r="T95" s="37">
        <f>N123</f>
        <v>7813073.6654537106</v>
      </c>
    </row>
    <row r="96" spans="1:20" ht="52.5" customHeight="1" thickBot="1" x14ac:dyDescent="0.25">
      <c r="A96" s="1000"/>
      <c r="B96" s="725" t="s">
        <v>512</v>
      </c>
      <c r="C96" s="442"/>
      <c r="D96" s="1095" t="s">
        <v>469</v>
      </c>
      <c r="E96" s="1096"/>
      <c r="F96" s="1096"/>
      <c r="G96" s="1096"/>
      <c r="H96" s="688"/>
      <c r="I96" s="752">
        <f>E95-C94*1000</f>
        <v>5523470.0948372558</v>
      </c>
      <c r="J96" s="738"/>
      <c r="K96" s="724" t="s">
        <v>470</v>
      </c>
      <c r="L96" s="678">
        <f>L95-C94*1000</f>
        <v>5523470.0948372558</v>
      </c>
      <c r="M96" s="445">
        <v>1.11E-2</v>
      </c>
      <c r="N96" s="726">
        <f>$D$11*M96</f>
        <v>86725.117686536178</v>
      </c>
      <c r="O96" s="709"/>
      <c r="P96" s="41"/>
      <c r="Q96" s="41"/>
      <c r="T96" s="37"/>
    </row>
    <row r="97" spans="1:20" ht="57.75" customHeight="1" thickBot="1" x14ac:dyDescent="0.25">
      <c r="A97" s="1000"/>
      <c r="B97" s="973" t="s">
        <v>317</v>
      </c>
      <c r="C97" s="970">
        <f>'ES CT Electric Table A  '!J19/1000</f>
        <v>36833.450623665602</v>
      </c>
      <c r="D97" s="973" t="s">
        <v>513</v>
      </c>
      <c r="E97" s="973"/>
      <c r="F97" s="973"/>
      <c r="G97" s="973"/>
      <c r="H97" s="973"/>
      <c r="I97" s="973"/>
      <c r="J97" s="976" t="s">
        <v>13</v>
      </c>
      <c r="K97" s="973" t="s">
        <v>322</v>
      </c>
      <c r="L97" s="1005" t="s">
        <v>514</v>
      </c>
      <c r="M97" s="1123">
        <v>2.5000000000000001E-2</v>
      </c>
      <c r="N97" s="970">
        <f>$D$11*M97</f>
        <v>195326.84163634272</v>
      </c>
      <c r="O97" s="709"/>
      <c r="Q97" s="151"/>
      <c r="T97" s="37">
        <f>T95-T94</f>
        <v>0</v>
      </c>
    </row>
    <row r="98" spans="1:20" ht="14.25" customHeight="1" thickBot="1" x14ac:dyDescent="0.25">
      <c r="A98" s="1000"/>
      <c r="B98" s="974"/>
      <c r="C98" s="970"/>
      <c r="D98" s="973"/>
      <c r="E98" s="973"/>
      <c r="F98" s="973"/>
      <c r="G98" s="973"/>
      <c r="H98" s="973"/>
      <c r="I98" s="973"/>
      <c r="J98" s="1121"/>
      <c r="K98" s="973"/>
      <c r="L98" s="1005"/>
      <c r="M98" s="1123"/>
      <c r="N98" s="970"/>
      <c r="O98" s="709"/>
      <c r="T98" s="37" t="s">
        <v>13</v>
      </c>
    </row>
    <row r="99" spans="1:20" ht="93" customHeight="1" thickBot="1" x14ac:dyDescent="0.25">
      <c r="A99" s="1000"/>
      <c r="B99" s="974"/>
      <c r="C99" s="970"/>
      <c r="D99" s="973"/>
      <c r="E99" s="973"/>
      <c r="F99" s="973"/>
      <c r="G99" s="973"/>
      <c r="H99" s="973"/>
      <c r="I99" s="973"/>
      <c r="J99" s="1121"/>
      <c r="K99" s="973"/>
      <c r="L99" s="1005"/>
      <c r="M99" s="1123"/>
      <c r="N99" s="970"/>
      <c r="O99" s="709"/>
    </row>
    <row r="100" spans="1:20" ht="38.25" customHeight="1" thickBot="1" x14ac:dyDescent="0.25">
      <c r="A100" s="1000"/>
      <c r="B100" s="974"/>
      <c r="C100" s="970"/>
      <c r="D100" s="973"/>
      <c r="E100" s="973"/>
      <c r="F100" s="973"/>
      <c r="G100" s="973"/>
      <c r="H100" s="973"/>
      <c r="I100" s="973"/>
      <c r="J100" s="1121"/>
      <c r="K100" s="973"/>
      <c r="L100" s="1005"/>
      <c r="M100" s="1123"/>
      <c r="N100" s="970"/>
      <c r="O100" s="709"/>
    </row>
    <row r="101" spans="1:20" ht="18.75" customHeight="1" thickBot="1" x14ac:dyDescent="0.25">
      <c r="A101" s="1000"/>
      <c r="B101" s="974"/>
      <c r="C101" s="970"/>
      <c r="D101" s="973"/>
      <c r="E101" s="973"/>
      <c r="F101" s="973"/>
      <c r="G101" s="973"/>
      <c r="H101" s="973"/>
      <c r="I101" s="973"/>
      <c r="J101" s="1122"/>
      <c r="K101" s="973"/>
      <c r="L101" s="1005"/>
      <c r="M101" s="1123"/>
      <c r="N101" s="970"/>
      <c r="O101" s="709"/>
    </row>
    <row r="102" spans="1:20" ht="18.75" customHeight="1" thickBot="1" x14ac:dyDescent="0.25">
      <c r="A102" s="1000"/>
      <c r="B102" s="973" t="s">
        <v>106</v>
      </c>
      <c r="C102" s="970">
        <f>'ES CT Electric Table A  '!J18/1000</f>
        <v>13513.265475251701</v>
      </c>
      <c r="D102" s="1124" t="s">
        <v>321</v>
      </c>
      <c r="E102" s="1124"/>
      <c r="F102" s="1124"/>
      <c r="G102" s="1124"/>
      <c r="H102" s="1124"/>
      <c r="I102" s="1124"/>
      <c r="J102" s="1125"/>
      <c r="K102" s="973" t="s">
        <v>323</v>
      </c>
      <c r="L102" s="1005" t="s">
        <v>254</v>
      </c>
      <c r="M102" s="1123">
        <v>0.02</v>
      </c>
      <c r="N102" s="970">
        <f>$D$11*M102</f>
        <v>156261.47330907418</v>
      </c>
      <c r="O102" s="709"/>
    </row>
    <row r="103" spans="1:20" ht="12" customHeight="1" thickBot="1" x14ac:dyDescent="0.25">
      <c r="A103" s="1000"/>
      <c r="B103" s="973"/>
      <c r="C103" s="970"/>
      <c r="D103" s="1124"/>
      <c r="E103" s="1124"/>
      <c r="F103" s="1124"/>
      <c r="G103" s="1124"/>
      <c r="H103" s="1124"/>
      <c r="I103" s="1124"/>
      <c r="J103" s="1018"/>
      <c r="K103" s="973"/>
      <c r="L103" s="1005"/>
      <c r="M103" s="1123"/>
      <c r="N103" s="970"/>
      <c r="O103" s="709"/>
    </row>
    <row r="104" spans="1:20" ht="21" customHeight="1" thickBot="1" x14ac:dyDescent="0.25">
      <c r="A104" s="1000"/>
      <c r="B104" s="973"/>
      <c r="C104" s="970"/>
      <c r="D104" s="1124"/>
      <c r="E104" s="1124"/>
      <c r="F104" s="1124"/>
      <c r="G104" s="1124"/>
      <c r="H104" s="1124"/>
      <c r="I104" s="1124"/>
      <c r="J104" s="1018"/>
      <c r="K104" s="973"/>
      <c r="L104" s="1005"/>
      <c r="M104" s="1123"/>
      <c r="N104" s="970"/>
      <c r="O104" s="709"/>
    </row>
    <row r="105" spans="1:20" ht="84" customHeight="1" thickBot="1" x14ac:dyDescent="0.25">
      <c r="A105" s="1000"/>
      <c r="B105" s="973"/>
      <c r="C105" s="970"/>
      <c r="D105" s="1124"/>
      <c r="E105" s="1124"/>
      <c r="F105" s="1124"/>
      <c r="G105" s="1124"/>
      <c r="H105" s="1124"/>
      <c r="I105" s="1124"/>
      <c r="J105" s="1018"/>
      <c r="K105" s="973"/>
      <c r="L105" s="1005"/>
      <c r="M105" s="1123"/>
      <c r="N105" s="970"/>
      <c r="O105" s="709"/>
    </row>
    <row r="106" spans="1:20" ht="21" customHeight="1" thickBot="1" x14ac:dyDescent="0.25">
      <c r="A106" s="1000"/>
      <c r="B106" s="973"/>
      <c r="C106" s="970"/>
      <c r="D106" s="1124"/>
      <c r="E106" s="1124"/>
      <c r="F106" s="1124"/>
      <c r="G106" s="1124"/>
      <c r="H106" s="1124"/>
      <c r="I106" s="1124"/>
      <c r="J106" s="1018"/>
      <c r="K106" s="973"/>
      <c r="L106" s="1005"/>
      <c r="M106" s="1123"/>
      <c r="N106" s="970"/>
      <c r="O106" s="709"/>
    </row>
    <row r="107" spans="1:20" ht="6" customHeight="1" thickBot="1" x14ac:dyDescent="0.25">
      <c r="A107" s="1000"/>
      <c r="B107" s="973"/>
      <c r="C107" s="970"/>
      <c r="D107" s="1124"/>
      <c r="E107" s="1124"/>
      <c r="F107" s="1124"/>
      <c r="G107" s="1124"/>
      <c r="H107" s="1124"/>
      <c r="I107" s="1124"/>
      <c r="J107" s="1102"/>
      <c r="K107" s="973"/>
      <c r="L107" s="1005"/>
      <c r="M107" s="1123"/>
      <c r="N107" s="970"/>
      <c r="O107" s="709"/>
    </row>
    <row r="108" spans="1:20" ht="38.25" customHeight="1" thickBot="1" x14ac:dyDescent="0.3">
      <c r="A108" s="1000"/>
      <c r="B108" s="974" t="s">
        <v>80</v>
      </c>
      <c r="C108" s="970">
        <f>'ES CT Electric Table A  '!J21/1000</f>
        <v>14526.5248385636</v>
      </c>
      <c r="D108" s="1045" t="s">
        <v>0</v>
      </c>
      <c r="E108" s="1045"/>
      <c r="F108" s="1045"/>
      <c r="G108" s="1062">
        <f>E87</f>
        <v>203698100.03805703</v>
      </c>
      <c r="H108" s="1062"/>
      <c r="I108" s="1045"/>
      <c r="J108" s="1106"/>
      <c r="K108" s="973" t="s">
        <v>324</v>
      </c>
      <c r="L108" s="1045"/>
      <c r="M108" s="1045"/>
      <c r="N108" s="1109"/>
      <c r="O108" s="711"/>
    </row>
    <row r="109" spans="1:20" ht="48" customHeight="1" thickBot="1" x14ac:dyDescent="0.3">
      <c r="A109" s="1000"/>
      <c r="B109" s="974"/>
      <c r="C109" s="970"/>
      <c r="D109" s="1045" t="s">
        <v>1</v>
      </c>
      <c r="E109" s="1045"/>
      <c r="F109" s="1045"/>
      <c r="G109" s="1062">
        <f>G87</f>
        <v>5248.9054608508586</v>
      </c>
      <c r="H109" s="1062"/>
      <c r="I109" s="1045"/>
      <c r="J109" s="1107"/>
      <c r="K109" s="973"/>
      <c r="L109" s="1045"/>
      <c r="M109" s="1045"/>
      <c r="N109" s="1109"/>
      <c r="O109" s="711"/>
    </row>
    <row r="110" spans="1:20" ht="15.75" customHeight="1" thickBot="1" x14ac:dyDescent="0.25">
      <c r="A110" s="1000"/>
      <c r="B110" s="974"/>
      <c r="C110" s="970"/>
      <c r="D110" s="973" t="s">
        <v>515</v>
      </c>
      <c r="E110" s="973"/>
      <c r="F110" s="973"/>
      <c r="G110" s="973"/>
      <c r="H110" s="973"/>
      <c r="I110" s="973"/>
      <c r="J110" s="1114" t="s">
        <v>13</v>
      </c>
      <c r="K110" s="973" t="s">
        <v>318</v>
      </c>
      <c r="L110" s="1005" t="s">
        <v>516</v>
      </c>
      <c r="M110" s="1108">
        <v>2.5000000000000001E-2</v>
      </c>
      <c r="N110" s="970">
        <f>$D$11*M110</f>
        <v>195326.84163634272</v>
      </c>
      <c r="O110" s="709"/>
    </row>
    <row r="111" spans="1:20" ht="30" customHeight="1" thickBot="1" x14ac:dyDescent="0.25">
      <c r="A111" s="1000"/>
      <c r="B111" s="974"/>
      <c r="C111" s="970"/>
      <c r="D111" s="973"/>
      <c r="E111" s="973"/>
      <c r="F111" s="973"/>
      <c r="G111" s="973"/>
      <c r="H111" s="973"/>
      <c r="I111" s="973"/>
      <c r="J111" s="1115"/>
      <c r="K111" s="973"/>
      <c r="L111" s="1005"/>
      <c r="M111" s="1108"/>
      <c r="N111" s="970"/>
      <c r="O111" s="709"/>
    </row>
    <row r="112" spans="1:20" ht="89.25" customHeight="1" thickBot="1" x14ac:dyDescent="0.25">
      <c r="A112" s="1000"/>
      <c r="B112" s="974"/>
      <c r="C112" s="970"/>
      <c r="D112" s="973"/>
      <c r="E112" s="973"/>
      <c r="F112" s="973"/>
      <c r="G112" s="973"/>
      <c r="H112" s="973"/>
      <c r="I112" s="973"/>
      <c r="J112" s="1115"/>
      <c r="K112" s="973"/>
      <c r="L112" s="1005"/>
      <c r="M112" s="1108"/>
      <c r="N112" s="970"/>
      <c r="O112" s="709"/>
    </row>
    <row r="113" spans="1:15" ht="21.75" customHeight="1" thickBot="1" x14ac:dyDescent="0.25">
      <c r="A113" s="1000"/>
      <c r="B113" s="1126"/>
      <c r="C113" s="970"/>
      <c r="D113" s="973"/>
      <c r="E113" s="973"/>
      <c r="F113" s="973"/>
      <c r="G113" s="973"/>
      <c r="H113" s="973"/>
      <c r="I113" s="973"/>
      <c r="J113" s="1115"/>
      <c r="K113" s="973"/>
      <c r="L113" s="1005"/>
      <c r="M113" s="1108"/>
      <c r="N113" s="970"/>
      <c r="O113" s="709"/>
    </row>
    <row r="114" spans="1:15" ht="4.5" customHeight="1" thickBot="1" x14ac:dyDescent="0.25">
      <c r="A114" s="1000"/>
      <c r="B114" s="1126"/>
      <c r="C114" s="970"/>
      <c r="D114" s="973"/>
      <c r="E114" s="973"/>
      <c r="F114" s="973"/>
      <c r="G114" s="973"/>
      <c r="H114" s="973"/>
      <c r="I114" s="973"/>
      <c r="J114" s="1116"/>
      <c r="K114" s="973"/>
      <c r="L114" s="1005"/>
      <c r="M114" s="1108"/>
      <c r="N114" s="970"/>
      <c r="O114" s="709"/>
    </row>
    <row r="115" spans="1:15" ht="48" customHeight="1" thickBot="1" x14ac:dyDescent="0.25">
      <c r="A115" s="1000"/>
      <c r="B115" s="1016" t="s">
        <v>340</v>
      </c>
      <c r="C115" s="538" t="s">
        <v>357</v>
      </c>
      <c r="D115" s="1022" t="s">
        <v>366</v>
      </c>
      <c r="E115" s="1023"/>
      <c r="F115" s="1023"/>
      <c r="G115" s="1023"/>
      <c r="H115" s="1023"/>
      <c r="I115" s="1024"/>
      <c r="J115" s="976" t="s">
        <v>13</v>
      </c>
      <c r="K115" s="976" t="s">
        <v>517</v>
      </c>
      <c r="L115" s="728"/>
      <c r="M115" s="716">
        <v>3.7499999999999999E-3</v>
      </c>
      <c r="N115" s="726">
        <f>$D$11*M115</f>
        <v>29299.026245451405</v>
      </c>
      <c r="O115" s="709"/>
    </row>
    <row r="116" spans="1:15" ht="76.5" customHeight="1" thickBot="1" x14ac:dyDescent="0.25">
      <c r="A116" s="1000"/>
      <c r="B116" s="1017"/>
      <c r="C116" s="539" t="s">
        <v>358</v>
      </c>
      <c r="D116" s="1022" t="s">
        <v>367</v>
      </c>
      <c r="E116" s="1023"/>
      <c r="F116" s="1023"/>
      <c r="G116" s="1023"/>
      <c r="H116" s="1023"/>
      <c r="I116" s="1024"/>
      <c r="J116" s="1018"/>
      <c r="K116" s="1018"/>
      <c r="L116" s="728"/>
      <c r="M116" s="716">
        <v>3.7499999999999999E-3</v>
      </c>
      <c r="N116" s="726">
        <f>$D$11*M116</f>
        <v>29299.026245451405</v>
      </c>
      <c r="O116" s="709"/>
    </row>
    <row r="117" spans="1:15" ht="48" customHeight="1" thickBot="1" x14ac:dyDescent="0.25">
      <c r="A117" s="1000"/>
      <c r="B117" s="1017"/>
      <c r="C117" s="539" t="s">
        <v>359</v>
      </c>
      <c r="D117" s="1022" t="s">
        <v>368</v>
      </c>
      <c r="E117" s="1023"/>
      <c r="F117" s="1023"/>
      <c r="G117" s="1023"/>
      <c r="H117" s="1023"/>
      <c r="I117" s="1024"/>
      <c r="J117" s="1018"/>
      <c r="K117" s="1018"/>
      <c r="L117" s="728"/>
      <c r="M117" s="716">
        <v>3.7499999999999999E-3</v>
      </c>
      <c r="N117" s="726">
        <f>$D$11*M117</f>
        <v>29299.026245451405</v>
      </c>
      <c r="O117" s="709"/>
    </row>
    <row r="118" spans="1:15" ht="48" customHeight="1" thickBot="1" x14ac:dyDescent="0.25">
      <c r="A118" s="1000"/>
      <c r="B118" s="1017"/>
      <c r="C118" s="540" t="s">
        <v>360</v>
      </c>
      <c r="D118" s="1022" t="s">
        <v>369</v>
      </c>
      <c r="E118" s="1023"/>
      <c r="F118" s="1023"/>
      <c r="G118" s="1023"/>
      <c r="H118" s="1023"/>
      <c r="I118" s="1024"/>
      <c r="J118" s="1102"/>
      <c r="K118" s="1018"/>
      <c r="L118" s="728"/>
      <c r="M118" s="716">
        <v>3.7499999999999999E-3</v>
      </c>
      <c r="N118" s="726">
        <f>$D$11*M118</f>
        <v>29299.026245451405</v>
      </c>
      <c r="O118" s="709"/>
    </row>
    <row r="119" spans="1:15" ht="21" customHeight="1" x14ac:dyDescent="0.2">
      <c r="A119" s="1000"/>
      <c r="B119" s="976" t="s">
        <v>151</v>
      </c>
      <c r="C119" s="979">
        <f>'ES CT Electric Table A  '!J20/1000</f>
        <v>3175.96574127453</v>
      </c>
      <c r="D119" s="1128" t="s">
        <v>335</v>
      </c>
      <c r="E119" s="1129"/>
      <c r="F119" s="1129"/>
      <c r="G119" s="1129"/>
      <c r="H119" s="1129"/>
      <c r="I119" s="1130"/>
      <c r="J119" s="976"/>
      <c r="K119" s="976" t="s">
        <v>274</v>
      </c>
      <c r="L119" s="994" t="s">
        <v>356</v>
      </c>
      <c r="M119" s="1110">
        <v>1.4999999999999999E-2</v>
      </c>
      <c r="N119" s="979">
        <f>$D$11*M119</f>
        <v>117196.10498180562</v>
      </c>
      <c r="O119" s="709"/>
    </row>
    <row r="120" spans="1:15" ht="105" customHeight="1" x14ac:dyDescent="0.2">
      <c r="A120" s="1000"/>
      <c r="B120" s="977"/>
      <c r="C120" s="980"/>
      <c r="D120" s="1131"/>
      <c r="E120" s="1132"/>
      <c r="F120" s="1132"/>
      <c r="G120" s="1132"/>
      <c r="H120" s="1132"/>
      <c r="I120" s="1133"/>
      <c r="J120" s="1018"/>
      <c r="K120" s="977"/>
      <c r="L120" s="995"/>
      <c r="M120" s="1127"/>
      <c r="N120" s="980"/>
      <c r="O120" s="709"/>
    </row>
    <row r="121" spans="1:15" ht="21.75" customHeight="1" thickBot="1" x14ac:dyDescent="0.25">
      <c r="A121" s="1000"/>
      <c r="B121" s="978"/>
      <c r="C121" s="981"/>
      <c r="D121" s="1134"/>
      <c r="E121" s="1135"/>
      <c r="F121" s="1135"/>
      <c r="G121" s="1135"/>
      <c r="H121" s="1135"/>
      <c r="I121" s="1136"/>
      <c r="J121" s="1102"/>
      <c r="K121" s="978"/>
      <c r="L121" s="996"/>
      <c r="M121" s="1111"/>
      <c r="N121" s="981"/>
      <c r="O121" s="709"/>
    </row>
    <row r="122" spans="1:15" ht="71.25" customHeight="1" thickBot="1" x14ac:dyDescent="0.25">
      <c r="A122" s="1000"/>
      <c r="B122" s="723" t="s">
        <v>361</v>
      </c>
      <c r="C122" s="722"/>
      <c r="D122" s="1022" t="s">
        <v>362</v>
      </c>
      <c r="E122" s="1002"/>
      <c r="F122" s="1002"/>
      <c r="G122" s="1002"/>
      <c r="H122" s="1002"/>
      <c r="I122" s="1003"/>
      <c r="J122" s="729"/>
      <c r="K122" s="723" t="s">
        <v>363</v>
      </c>
      <c r="L122" s="730" t="s">
        <v>364</v>
      </c>
      <c r="M122" s="717">
        <v>0.01</v>
      </c>
      <c r="N122" s="727">
        <f>$D$11*M122</f>
        <v>78130.73665453709</v>
      </c>
      <c r="O122" s="709"/>
    </row>
    <row r="123" spans="1:15" ht="26.25" customHeight="1" thickBot="1" x14ac:dyDescent="0.3">
      <c r="A123" s="1000"/>
      <c r="B123" s="964" t="s">
        <v>82</v>
      </c>
      <c r="C123" s="965"/>
      <c r="D123" s="965"/>
      <c r="E123" s="965"/>
      <c r="F123" s="965"/>
      <c r="G123" s="965"/>
      <c r="H123" s="965"/>
      <c r="I123" s="965"/>
      <c r="J123" s="965"/>
      <c r="K123" s="965"/>
      <c r="L123" s="966"/>
      <c r="M123" s="455">
        <f>SUM(M31:M122)</f>
        <v>1.0000000000000002</v>
      </c>
      <c r="N123" s="456">
        <f>SUM(N31:N122)</f>
        <v>7813073.6654537106</v>
      </c>
      <c r="O123" s="718"/>
    </row>
    <row r="124" spans="1:15" ht="38.25" customHeight="1" x14ac:dyDescent="0.25">
      <c r="B124" s="58"/>
      <c r="C124" s="58"/>
      <c r="D124" s="58"/>
      <c r="E124" s="58"/>
      <c r="F124" s="58"/>
      <c r="G124" s="58"/>
      <c r="H124" s="58"/>
      <c r="I124" s="58"/>
      <c r="J124" s="58"/>
      <c r="K124" s="58"/>
      <c r="L124" s="58"/>
      <c r="M124" s="59"/>
      <c r="N124" s="719"/>
      <c r="O124" s="719"/>
    </row>
    <row r="125" spans="1:15" ht="21.75" customHeight="1" x14ac:dyDescent="0.25">
      <c r="B125" s="58"/>
      <c r="C125" s="58"/>
      <c r="D125" s="58"/>
      <c r="E125" s="58"/>
      <c r="F125" s="616"/>
      <c r="G125" s="617"/>
      <c r="H125" s="58"/>
      <c r="I125" s="58"/>
      <c r="J125" s="58"/>
      <c r="K125" s="58"/>
      <c r="L125" s="58"/>
      <c r="M125" s="59"/>
      <c r="N125" s="719"/>
      <c r="O125" s="719"/>
    </row>
    <row r="126" spans="1:15" ht="30" customHeight="1" x14ac:dyDescent="0.25">
      <c r="B126" s="58"/>
      <c r="C126" s="58"/>
      <c r="D126" s="58"/>
      <c r="E126" s="58"/>
      <c r="F126" s="616"/>
      <c r="G126" s="617"/>
      <c r="H126" s="58"/>
      <c r="I126" s="58"/>
      <c r="J126" s="58"/>
      <c r="K126" s="58"/>
      <c r="L126" s="58"/>
      <c r="M126" s="59"/>
      <c r="N126" s="719"/>
      <c r="O126" s="719"/>
    </row>
    <row r="127" spans="1:15" ht="18.75" customHeight="1" x14ac:dyDescent="0.25">
      <c r="B127" s="58"/>
      <c r="C127" s="58"/>
      <c r="D127" s="58"/>
      <c r="E127" s="615"/>
      <c r="F127" s="616"/>
      <c r="G127" s="617"/>
      <c r="H127" s="58"/>
      <c r="I127" s="58"/>
      <c r="J127" s="58"/>
      <c r="K127" s="58"/>
      <c r="L127" s="58"/>
      <c r="M127" s="59"/>
      <c r="N127" s="719"/>
      <c r="O127" s="719"/>
    </row>
    <row r="128" spans="1:15" ht="18.75" customHeight="1" x14ac:dyDescent="0.25">
      <c r="B128" s="58"/>
      <c r="C128" s="58"/>
      <c r="D128" s="58"/>
      <c r="E128" s="58"/>
      <c r="F128" s="58"/>
      <c r="G128" s="58"/>
      <c r="H128" s="58"/>
      <c r="I128" s="58"/>
      <c r="J128" s="58"/>
      <c r="K128" s="58"/>
      <c r="L128" s="58"/>
      <c r="M128" s="59"/>
      <c r="N128" s="719"/>
      <c r="O128" s="719"/>
    </row>
    <row r="129" spans="2:15" ht="18.75" customHeight="1" x14ac:dyDescent="0.25">
      <c r="B129" s="58"/>
      <c r="C129" s="58"/>
      <c r="D129" s="58"/>
      <c r="E129" s="58"/>
      <c r="F129" s="58"/>
      <c r="G129" s="58"/>
      <c r="H129" s="58"/>
      <c r="I129" s="58"/>
      <c r="J129" s="58"/>
      <c r="K129" s="58"/>
      <c r="L129" s="58"/>
      <c r="M129" s="59"/>
      <c r="N129" s="719"/>
      <c r="O129" s="719"/>
    </row>
    <row r="130" spans="2:15" ht="30.75" customHeight="1" x14ac:dyDescent="0.25">
      <c r="B130" s="58"/>
      <c r="C130" s="58"/>
      <c r="D130" s="58"/>
      <c r="E130" s="58"/>
      <c r="F130" s="58"/>
      <c r="G130" s="58"/>
      <c r="H130" s="58"/>
      <c r="I130" s="58"/>
      <c r="J130" s="58"/>
      <c r="K130" s="58"/>
      <c r="L130" s="58"/>
      <c r="M130" s="59"/>
      <c r="N130" s="719"/>
      <c r="O130" s="719"/>
    </row>
    <row r="131" spans="2:15" ht="18.75" customHeight="1" x14ac:dyDescent="0.25">
      <c r="B131" s="58"/>
      <c r="C131" s="58"/>
      <c r="D131" s="58"/>
      <c r="E131" s="58"/>
      <c r="F131" s="58"/>
      <c r="G131" s="58"/>
      <c r="H131" s="58"/>
      <c r="I131" s="58"/>
      <c r="J131" s="58"/>
      <c r="K131" s="58"/>
      <c r="L131" s="58"/>
      <c r="M131" s="59"/>
      <c r="N131" s="719"/>
      <c r="O131" s="719"/>
    </row>
    <row r="132" spans="2:15" ht="18.75" customHeight="1" x14ac:dyDescent="0.25">
      <c r="B132" s="58"/>
      <c r="C132" s="58"/>
      <c r="D132" s="58"/>
      <c r="E132" s="58"/>
      <c r="F132" s="58"/>
      <c r="G132" s="58"/>
      <c r="H132" s="58"/>
      <c r="I132" s="58"/>
      <c r="J132" s="58"/>
      <c r="K132" s="58"/>
      <c r="L132" s="58"/>
      <c r="M132" s="59"/>
      <c r="N132" s="719"/>
      <c r="O132" s="719"/>
    </row>
    <row r="133" spans="2:15" ht="18.75" customHeight="1" x14ac:dyDescent="0.25">
      <c r="B133" s="58"/>
      <c r="C133" s="58"/>
      <c r="D133" s="58"/>
      <c r="E133" s="58"/>
      <c r="F133" s="58"/>
      <c r="G133" s="58"/>
      <c r="H133" s="58"/>
      <c r="I133" s="58"/>
      <c r="J133" s="58"/>
      <c r="K133" s="58"/>
      <c r="L133" s="58"/>
      <c r="M133" s="59"/>
      <c r="N133" s="719"/>
      <c r="O133" s="719"/>
    </row>
    <row r="134" spans="2:15" ht="23.25" customHeight="1" x14ac:dyDescent="0.25">
      <c r="B134" s="58"/>
      <c r="C134" s="58"/>
      <c r="D134" s="58"/>
      <c r="E134" s="58"/>
      <c r="F134" s="58"/>
      <c r="G134" s="58"/>
      <c r="H134" s="58"/>
      <c r="I134" s="58"/>
      <c r="J134" s="58"/>
      <c r="K134" s="58"/>
      <c r="L134" s="58"/>
      <c r="M134" s="59"/>
      <c r="N134" s="719"/>
      <c r="O134" s="719"/>
    </row>
    <row r="135" spans="2:15" ht="19.5" customHeight="1" x14ac:dyDescent="0.25">
      <c r="B135" s="58"/>
      <c r="C135" s="58"/>
      <c r="D135" s="58"/>
      <c r="E135" s="58"/>
      <c r="F135" s="58"/>
      <c r="G135" s="58"/>
      <c r="H135" s="58"/>
      <c r="I135" s="58"/>
      <c r="J135" s="58"/>
      <c r="K135" s="58"/>
      <c r="L135" s="58"/>
      <c r="M135" s="59"/>
      <c r="N135" s="719"/>
      <c r="O135" s="719"/>
    </row>
    <row r="136" spans="2:15" ht="15" x14ac:dyDescent="0.25">
      <c r="B136" s="58"/>
      <c r="C136" s="58"/>
      <c r="D136" s="58"/>
      <c r="E136" s="58"/>
      <c r="F136" s="58"/>
      <c r="G136" s="58"/>
      <c r="H136" s="58"/>
      <c r="I136" s="58"/>
      <c r="J136" s="58"/>
      <c r="K136" s="58"/>
      <c r="L136" s="58"/>
      <c r="M136" s="59"/>
      <c r="N136" s="719"/>
      <c r="O136" s="719"/>
    </row>
    <row r="137" spans="2:15" ht="15" x14ac:dyDescent="0.25">
      <c r="B137" s="58"/>
      <c r="C137" s="58"/>
      <c r="D137" s="58"/>
      <c r="E137" s="58"/>
      <c r="F137" s="58"/>
      <c r="G137" s="58"/>
      <c r="H137" s="58"/>
      <c r="I137" s="58"/>
      <c r="J137" s="58"/>
      <c r="K137" s="58"/>
      <c r="L137" s="58"/>
      <c r="M137" s="59"/>
      <c r="N137" s="719"/>
      <c r="O137" s="719"/>
    </row>
    <row r="138" spans="2:15" ht="15" x14ac:dyDescent="0.25">
      <c r="B138" s="58"/>
      <c r="C138" s="58"/>
      <c r="D138" s="58"/>
      <c r="E138" s="58"/>
      <c r="F138" s="58"/>
      <c r="G138" s="58"/>
      <c r="H138" s="58"/>
      <c r="I138" s="58"/>
      <c r="J138" s="58"/>
      <c r="K138" s="58"/>
      <c r="L138" s="58"/>
      <c r="M138" s="59"/>
      <c r="N138" s="719"/>
      <c r="O138" s="719"/>
    </row>
    <row r="139" spans="2:15" ht="15" x14ac:dyDescent="0.25">
      <c r="B139" s="58"/>
      <c r="C139" s="58"/>
      <c r="D139" s="58"/>
      <c r="E139" s="58"/>
      <c r="F139" s="58"/>
      <c r="G139" s="58"/>
      <c r="H139" s="58"/>
      <c r="I139" s="58"/>
      <c r="J139" s="58"/>
      <c r="K139" s="58"/>
      <c r="L139" s="58"/>
      <c r="M139" s="59"/>
      <c r="N139" s="719"/>
      <c r="O139" s="719"/>
    </row>
    <row r="140" spans="2:15" ht="15" x14ac:dyDescent="0.25">
      <c r="B140" s="58"/>
      <c r="C140" s="58"/>
      <c r="D140" s="58"/>
      <c r="E140" s="58"/>
      <c r="F140" s="58"/>
      <c r="G140" s="58"/>
      <c r="H140" s="58"/>
      <c r="I140" s="58"/>
      <c r="J140" s="58"/>
      <c r="K140" s="58"/>
      <c r="L140" s="58"/>
      <c r="M140" s="59"/>
      <c r="N140" s="719"/>
      <c r="O140" s="719"/>
    </row>
    <row r="141" spans="2:15" ht="15" x14ac:dyDescent="0.25">
      <c r="B141" s="58"/>
      <c r="C141" s="58"/>
      <c r="D141" s="58"/>
      <c r="E141" s="58"/>
      <c r="F141" s="58"/>
      <c r="G141" s="58"/>
      <c r="H141" s="58"/>
      <c r="I141" s="58"/>
      <c r="J141" s="58"/>
      <c r="K141" s="58"/>
      <c r="L141" s="58"/>
      <c r="M141" s="59"/>
      <c r="N141" s="719"/>
      <c r="O141" s="719"/>
    </row>
    <row r="142" spans="2:15" ht="15" x14ac:dyDescent="0.25">
      <c r="B142" s="58"/>
      <c r="C142" s="58"/>
      <c r="D142" s="58"/>
      <c r="E142" s="58"/>
      <c r="F142" s="58"/>
      <c r="G142" s="58"/>
      <c r="H142" s="58"/>
      <c r="I142" s="58"/>
      <c r="J142" s="58"/>
      <c r="K142" s="58"/>
      <c r="L142" s="58"/>
      <c r="M142" s="59"/>
      <c r="N142" s="719"/>
      <c r="O142" s="719"/>
    </row>
    <row r="143" spans="2:15" ht="15" x14ac:dyDescent="0.25">
      <c r="B143" s="58"/>
      <c r="C143" s="58"/>
      <c r="D143" s="58"/>
      <c r="E143" s="58"/>
      <c r="F143" s="58"/>
      <c r="G143" s="58"/>
      <c r="H143" s="58"/>
      <c r="I143" s="58"/>
      <c r="J143" s="58"/>
      <c r="K143" s="58"/>
      <c r="L143" s="58"/>
      <c r="M143" s="59"/>
      <c r="N143" s="719"/>
      <c r="O143" s="719"/>
    </row>
    <row r="144" spans="2:15" ht="15" x14ac:dyDescent="0.25">
      <c r="B144" s="58"/>
      <c r="C144" s="58"/>
      <c r="D144" s="58"/>
      <c r="E144" s="58"/>
      <c r="F144" s="58"/>
      <c r="G144" s="58"/>
      <c r="H144" s="58"/>
      <c r="I144" s="58"/>
      <c r="J144" s="58"/>
      <c r="K144" s="58"/>
      <c r="L144" s="58"/>
      <c r="M144" s="59"/>
      <c r="N144" s="719"/>
      <c r="O144" s="719"/>
    </row>
    <row r="145" spans="2:15" ht="15" x14ac:dyDescent="0.25">
      <c r="B145" s="58"/>
      <c r="C145" s="58"/>
      <c r="D145" s="58"/>
      <c r="E145" s="58"/>
      <c r="F145" s="58"/>
      <c r="G145" s="58"/>
      <c r="H145" s="58"/>
      <c r="I145" s="58"/>
      <c r="J145" s="58"/>
      <c r="K145" s="58"/>
      <c r="L145" s="58"/>
      <c r="M145" s="59"/>
      <c r="N145" s="719"/>
      <c r="O145" s="719"/>
    </row>
    <row r="146" spans="2:15" ht="15" x14ac:dyDescent="0.25">
      <c r="B146" s="58"/>
      <c r="C146" s="58"/>
      <c r="D146" s="58"/>
      <c r="E146" s="58"/>
      <c r="F146" s="58"/>
      <c r="G146" s="58"/>
      <c r="H146" s="58"/>
      <c r="I146" s="58"/>
      <c r="J146" s="58"/>
      <c r="K146" s="58"/>
      <c r="L146" s="58"/>
      <c r="M146" s="59"/>
      <c r="N146" s="719"/>
      <c r="O146" s="719"/>
    </row>
    <row r="147" spans="2:15" ht="15" x14ac:dyDescent="0.25">
      <c r="B147" s="58"/>
      <c r="C147" s="58"/>
      <c r="D147" s="58"/>
      <c r="E147" s="58"/>
      <c r="F147" s="58"/>
      <c r="G147" s="58"/>
      <c r="H147" s="58"/>
      <c r="I147" s="58"/>
      <c r="J147" s="58"/>
      <c r="K147" s="58"/>
      <c r="L147" s="58"/>
      <c r="M147" s="59"/>
      <c r="N147" s="719"/>
      <c r="O147" s="719"/>
    </row>
  </sheetData>
  <mergeCells count="223">
    <mergeCell ref="M119:M121"/>
    <mergeCell ref="N119:N121"/>
    <mergeCell ref="D122:I122"/>
    <mergeCell ref="B123:L123"/>
    <mergeCell ref="B119:B121"/>
    <mergeCell ref="C119:C121"/>
    <mergeCell ref="D119:I121"/>
    <mergeCell ref="J119:J121"/>
    <mergeCell ref="K119:K121"/>
    <mergeCell ref="L119:L121"/>
    <mergeCell ref="J110:J114"/>
    <mergeCell ref="K110:K114"/>
    <mergeCell ref="L110:L114"/>
    <mergeCell ref="M110:M114"/>
    <mergeCell ref="N110:N114"/>
    <mergeCell ref="B115:B118"/>
    <mergeCell ref="D115:I115"/>
    <mergeCell ref="J115:J118"/>
    <mergeCell ref="K115:K118"/>
    <mergeCell ref="D116:I116"/>
    <mergeCell ref="D117:I117"/>
    <mergeCell ref="D118:I118"/>
    <mergeCell ref="M97:M101"/>
    <mergeCell ref="N97:N101"/>
    <mergeCell ref="A102:A123"/>
    <mergeCell ref="B102:B107"/>
    <mergeCell ref="C102:C107"/>
    <mergeCell ref="D102:I107"/>
    <mergeCell ref="J102:J107"/>
    <mergeCell ref="K102:K107"/>
    <mergeCell ref="L102:L107"/>
    <mergeCell ref="M102:M107"/>
    <mergeCell ref="N102:N107"/>
    <mergeCell ref="B108:B114"/>
    <mergeCell ref="C108:C114"/>
    <mergeCell ref="D108:F108"/>
    <mergeCell ref="G108:H108"/>
    <mergeCell ref="I108:I109"/>
    <mergeCell ref="J108:J109"/>
    <mergeCell ref="K108:K109"/>
    <mergeCell ref="L108:L109"/>
    <mergeCell ref="M108:M109"/>
    <mergeCell ref="N108:N109"/>
    <mergeCell ref="D109:F109"/>
    <mergeCell ref="G109:H109"/>
    <mergeCell ref="D110:I114"/>
    <mergeCell ref="D93:H93"/>
    <mergeCell ref="B94:B95"/>
    <mergeCell ref="D96:G96"/>
    <mergeCell ref="B97:B101"/>
    <mergeCell ref="C97:C101"/>
    <mergeCell ref="D97:I101"/>
    <mergeCell ref="J97:J101"/>
    <mergeCell ref="K97:K101"/>
    <mergeCell ref="L97:L101"/>
    <mergeCell ref="C84:C92"/>
    <mergeCell ref="E84:F84"/>
    <mergeCell ref="G84:H84"/>
    <mergeCell ref="K84:K92"/>
    <mergeCell ref="L84:L85"/>
    <mergeCell ref="M84:M92"/>
    <mergeCell ref="N84:N92"/>
    <mergeCell ref="E85:F85"/>
    <mergeCell ref="G85:H85"/>
    <mergeCell ref="E86:F86"/>
    <mergeCell ref="G86:H86"/>
    <mergeCell ref="L86:L92"/>
    <mergeCell ref="E87:F87"/>
    <mergeCell ref="G87:H87"/>
    <mergeCell ref="J76:J81"/>
    <mergeCell ref="K76:K81"/>
    <mergeCell ref="L76:L81"/>
    <mergeCell ref="M76:M81"/>
    <mergeCell ref="N76:N81"/>
    <mergeCell ref="D77:F77"/>
    <mergeCell ref="G77:H77"/>
    <mergeCell ref="D78:I81"/>
    <mergeCell ref="A82:A101"/>
    <mergeCell ref="B82:C83"/>
    <mergeCell ref="D82:D83"/>
    <mergeCell ref="E82:F83"/>
    <mergeCell ref="G82:H83"/>
    <mergeCell ref="I82:I83"/>
    <mergeCell ref="E88:F88"/>
    <mergeCell ref="G88:H88"/>
    <mergeCell ref="D89:I89"/>
    <mergeCell ref="D92:H92"/>
    <mergeCell ref="J82:J83"/>
    <mergeCell ref="K82:K83"/>
    <mergeCell ref="L82:L83"/>
    <mergeCell ref="M82:M83"/>
    <mergeCell ref="N82:N83"/>
    <mergeCell ref="B84:B92"/>
    <mergeCell ref="J70:J71"/>
    <mergeCell ref="K70:K71"/>
    <mergeCell ref="L70:L71"/>
    <mergeCell ref="M70:M71"/>
    <mergeCell ref="N70:N71"/>
    <mergeCell ref="B72:B75"/>
    <mergeCell ref="C72:C75"/>
    <mergeCell ref="D72:I75"/>
    <mergeCell ref="J72:J75"/>
    <mergeCell ref="K72:K75"/>
    <mergeCell ref="L72:L75"/>
    <mergeCell ref="M72:M75"/>
    <mergeCell ref="N72:N75"/>
    <mergeCell ref="J63:J64"/>
    <mergeCell ref="K63:K64"/>
    <mergeCell ref="L63:L64"/>
    <mergeCell ref="M63:M64"/>
    <mergeCell ref="N63:N64"/>
    <mergeCell ref="D64:F64"/>
    <mergeCell ref="G64:H64"/>
    <mergeCell ref="J65:J68"/>
    <mergeCell ref="K65:K68"/>
    <mergeCell ref="L65:L68"/>
    <mergeCell ref="M65:M68"/>
    <mergeCell ref="N65:N68"/>
    <mergeCell ref="J56:J57"/>
    <mergeCell ref="K56:K57"/>
    <mergeCell ref="L56:L57"/>
    <mergeCell ref="M56:M57"/>
    <mergeCell ref="N56:N57"/>
    <mergeCell ref="D57:F57"/>
    <mergeCell ref="G57:H57"/>
    <mergeCell ref="J58:J62"/>
    <mergeCell ref="K58:K62"/>
    <mergeCell ref="L58:L62"/>
    <mergeCell ref="M58:M62"/>
    <mergeCell ref="N58:N62"/>
    <mergeCell ref="A56:A81"/>
    <mergeCell ref="B56:B62"/>
    <mergeCell ref="C56:C62"/>
    <mergeCell ref="D56:F56"/>
    <mergeCell ref="G56:H56"/>
    <mergeCell ref="I56:I57"/>
    <mergeCell ref="D58:I62"/>
    <mergeCell ref="D65:I68"/>
    <mergeCell ref="D70:I71"/>
    <mergeCell ref="B63:B71"/>
    <mergeCell ref="C63:C71"/>
    <mergeCell ref="D63:F63"/>
    <mergeCell ref="G63:H63"/>
    <mergeCell ref="I63:I64"/>
    <mergeCell ref="D69:I69"/>
    <mergeCell ref="B76:B81"/>
    <mergeCell ref="C76:C81"/>
    <mergeCell ref="D76:F76"/>
    <mergeCell ref="G76:H76"/>
    <mergeCell ref="I76:I77"/>
    <mergeCell ref="J49:J50"/>
    <mergeCell ref="K49:K50"/>
    <mergeCell ref="L49:L50"/>
    <mergeCell ref="M49:M50"/>
    <mergeCell ref="N49:N50"/>
    <mergeCell ref="J51:J53"/>
    <mergeCell ref="K51:K53"/>
    <mergeCell ref="L51:L53"/>
    <mergeCell ref="M51:M53"/>
    <mergeCell ref="N51:N53"/>
    <mergeCell ref="D44:I44"/>
    <mergeCell ref="D45:G45"/>
    <mergeCell ref="H45:I45"/>
    <mergeCell ref="B46:B47"/>
    <mergeCell ref="D48:G48"/>
    <mergeCell ref="B49:B55"/>
    <mergeCell ref="C49:C55"/>
    <mergeCell ref="D49:F49"/>
    <mergeCell ref="G49:H49"/>
    <mergeCell ref="D50:F50"/>
    <mergeCell ref="G50:H50"/>
    <mergeCell ref="D51:I53"/>
    <mergeCell ref="D55:I55"/>
    <mergeCell ref="I49:I50"/>
    <mergeCell ref="D54:I54"/>
    <mergeCell ref="D31:J32"/>
    <mergeCell ref="K31:K44"/>
    <mergeCell ref="L31:L34"/>
    <mergeCell ref="M31:M44"/>
    <mergeCell ref="N31:N44"/>
    <mergeCell ref="E33:F33"/>
    <mergeCell ref="G33:H33"/>
    <mergeCell ref="E34:F34"/>
    <mergeCell ref="G34:H34"/>
    <mergeCell ref="E35:F35"/>
    <mergeCell ref="G35:H35"/>
    <mergeCell ref="L35:L44"/>
    <mergeCell ref="E36:F36"/>
    <mergeCell ref="G36:H36"/>
    <mergeCell ref="E37:F37"/>
    <mergeCell ref="G37:H37"/>
    <mergeCell ref="E38:F38"/>
    <mergeCell ref="G38:H38"/>
    <mergeCell ref="D39:I39"/>
    <mergeCell ref="E40:F40"/>
    <mergeCell ref="G40:H40"/>
    <mergeCell ref="D41:I41"/>
    <mergeCell ref="E43:F43"/>
    <mergeCell ref="G43:H43"/>
    <mergeCell ref="A2:A24"/>
    <mergeCell ref="B2:N2"/>
    <mergeCell ref="B3:N4"/>
    <mergeCell ref="B5:N5"/>
    <mergeCell ref="B6:D6"/>
    <mergeCell ref="E6:N24"/>
    <mergeCell ref="C16:D16"/>
    <mergeCell ref="B18:D24"/>
    <mergeCell ref="A26:A55"/>
    <mergeCell ref="B26:C27"/>
    <mergeCell ref="D26:I27"/>
    <mergeCell ref="K26:N26"/>
    <mergeCell ref="B28:N28"/>
    <mergeCell ref="B29:C30"/>
    <mergeCell ref="D29:D30"/>
    <mergeCell ref="E29:F30"/>
    <mergeCell ref="G29:H30"/>
    <mergeCell ref="I29:I30"/>
    <mergeCell ref="K29:K30"/>
    <mergeCell ref="L29:L30"/>
    <mergeCell ref="M29:M30"/>
    <mergeCell ref="N29:N30"/>
    <mergeCell ref="B31:B44"/>
    <mergeCell ref="C31:C44"/>
  </mergeCells>
  <printOptions horizontalCentered="1"/>
  <pageMargins left="0" right="0" top="1" bottom="0.5" header="0.5" footer="0.5"/>
  <pageSetup scale="49" fitToHeight="5" orientation="landscape"/>
  <headerFooter alignWithMargins="0">
    <oddHeader xml:space="preserve">&amp;C&amp;"Arial,Bold"&amp;14EVERSOURCE CT ELECTRIC - 2022 PERFORMANCE INCENTIVE
&amp;"Arial,Regular"&amp;11(Some Monetary Values in Thousands of Dollars) &amp;"Arial,Bold"&amp;14
</oddHeader>
    <oddFooter xml:space="preserve">&amp;CTotals may vary due to rounding
</oddFooter>
  </headerFooter>
  <rowBreaks count="4" manualBreakCount="4">
    <brk id="25" min="1" max="12" man="1"/>
    <brk id="55" min="1" max="12" man="1"/>
    <brk id="81" max="16383" man="1"/>
    <brk id="107" min="1" max="12" man="1"/>
  </rowBreak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D55C-5ABB-4BA7-9E9C-81903C0CA2A5}">
  <sheetPr>
    <tabColor theme="9" tint="0.39997558519241921"/>
  </sheetPr>
  <dimension ref="A2:T147"/>
  <sheetViews>
    <sheetView topLeftCell="A91" zoomScale="80" zoomScaleNormal="80" zoomScalePageLayoutView="80" workbookViewId="0">
      <selection activeCell="D102" sqref="D102:I107"/>
    </sheetView>
  </sheetViews>
  <sheetFormatPr defaultRowHeight="12.75" x14ac:dyDescent="0.2"/>
  <cols>
    <col min="2" max="2" width="27.7109375" customWidth="1"/>
    <col min="3" max="3" width="20.5703125" customWidth="1"/>
    <col min="4" max="4" width="26.5703125" customWidth="1"/>
    <col min="5" max="5" width="20.140625" bestFit="1" customWidth="1"/>
    <col min="6" max="6" width="15.5703125" customWidth="1"/>
    <col min="7" max="7" width="20.140625" bestFit="1" customWidth="1"/>
    <col min="8" max="8" width="8.28515625" customWidth="1"/>
    <col min="9" max="10" width="27.42578125" customWidth="1"/>
    <col min="11" max="11" width="30.7109375" customWidth="1"/>
    <col min="12" max="12" width="26.7109375" customWidth="1"/>
    <col min="13" max="13" width="13" style="641" bestFit="1" customWidth="1"/>
    <col min="14" max="15" width="17.5703125" style="147" customWidth="1"/>
    <col min="17" max="17" width="12" customWidth="1"/>
    <col min="18" max="18" width="14.5703125" customWidth="1"/>
    <col min="19" max="19" width="18.85546875" customWidth="1"/>
    <col min="20" max="20" width="14.85546875" customWidth="1"/>
  </cols>
  <sheetData>
    <row r="2" spans="1:19" ht="22.5" customHeight="1" x14ac:dyDescent="0.35">
      <c r="A2" s="955"/>
      <c r="B2" s="1046" t="s">
        <v>176</v>
      </c>
      <c r="C2" s="1046"/>
      <c r="D2" s="1046"/>
      <c r="E2" s="1046"/>
      <c r="F2" s="1046"/>
      <c r="G2" s="1046"/>
      <c r="H2" s="1046"/>
      <c r="I2" s="1046"/>
      <c r="J2" s="1046"/>
      <c r="K2" s="1046"/>
      <c r="L2" s="1046"/>
      <c r="M2" s="1046"/>
      <c r="N2" s="1046"/>
      <c r="O2" s="654"/>
      <c r="P2" s="41"/>
      <c r="Q2" s="41"/>
    </row>
    <row r="3" spans="1:19" ht="24" customHeight="1" x14ac:dyDescent="0.35">
      <c r="A3" s="955"/>
      <c r="B3" s="1046" t="s">
        <v>426</v>
      </c>
      <c r="C3" s="1046"/>
      <c r="D3" s="1046"/>
      <c r="E3" s="1046"/>
      <c r="F3" s="1046"/>
      <c r="G3" s="1046"/>
      <c r="H3" s="1046"/>
      <c r="I3" s="1046"/>
      <c r="J3" s="1046"/>
      <c r="K3" s="1046"/>
      <c r="L3" s="1046"/>
      <c r="M3" s="1046"/>
      <c r="N3" s="1046"/>
      <c r="O3" s="654"/>
      <c r="P3" s="41"/>
      <c r="Q3" s="41"/>
    </row>
    <row r="4" spans="1:19" ht="9.75" customHeight="1" x14ac:dyDescent="0.35">
      <c r="A4" s="955"/>
      <c r="B4" s="1046"/>
      <c r="C4" s="1046"/>
      <c r="D4" s="1046"/>
      <c r="E4" s="1046"/>
      <c r="F4" s="1046"/>
      <c r="G4" s="1046"/>
      <c r="H4" s="1046"/>
      <c r="I4" s="1046"/>
      <c r="J4" s="1046"/>
      <c r="K4" s="1046"/>
      <c r="L4" s="1046"/>
      <c r="M4" s="1046"/>
      <c r="N4" s="1046"/>
      <c r="O4" s="654"/>
      <c r="P4" s="41"/>
      <c r="Q4" s="41"/>
    </row>
    <row r="5" spans="1:19" s="640" customFormat="1" ht="129.75" customHeight="1" x14ac:dyDescent="0.25">
      <c r="A5" s="955"/>
      <c r="B5" s="1049" t="s">
        <v>541</v>
      </c>
      <c r="C5" s="1049"/>
      <c r="D5" s="1049"/>
      <c r="E5" s="1049"/>
      <c r="F5" s="1049"/>
      <c r="G5" s="1049"/>
      <c r="H5" s="1049"/>
      <c r="I5" s="1049"/>
      <c r="J5" s="1049"/>
      <c r="K5" s="1049"/>
      <c r="L5" s="1049"/>
      <c r="M5" s="1049"/>
      <c r="N5" s="1049"/>
      <c r="O5" s="657"/>
      <c r="P5" s="148"/>
      <c r="Q5" s="148"/>
      <c r="R5" s="57"/>
      <c r="S5" s="57"/>
    </row>
    <row r="6" spans="1:19" ht="28.5" customHeight="1" x14ac:dyDescent="0.25">
      <c r="A6" s="955"/>
      <c r="B6" s="1050" t="s">
        <v>89</v>
      </c>
      <c r="C6" s="1050"/>
      <c r="D6" s="1050"/>
      <c r="E6" s="1047"/>
      <c r="F6" s="1047"/>
      <c r="G6" s="1047"/>
      <c r="H6" s="1047"/>
      <c r="I6" s="1047"/>
      <c r="J6" s="1047"/>
      <c r="K6" s="1047"/>
      <c r="L6" s="1047"/>
      <c r="M6" s="1047"/>
      <c r="N6" s="1047"/>
      <c r="O6" s="655"/>
      <c r="P6" s="41"/>
      <c r="Q6" s="41"/>
    </row>
    <row r="7" spans="1:19" ht="36.75" customHeight="1" x14ac:dyDescent="0.2">
      <c r="A7" s="955"/>
      <c r="B7" s="426" t="s">
        <v>313</v>
      </c>
      <c r="C7" s="426" t="s">
        <v>62</v>
      </c>
      <c r="D7" s="426" t="s">
        <v>63</v>
      </c>
      <c r="E7" s="1047"/>
      <c r="F7" s="1047"/>
      <c r="G7" s="1047"/>
      <c r="H7" s="1047"/>
      <c r="I7" s="1047"/>
      <c r="J7" s="1047"/>
      <c r="K7" s="1047"/>
      <c r="L7" s="1047"/>
      <c r="M7" s="1047"/>
      <c r="N7" s="1047"/>
      <c r="O7" s="655"/>
      <c r="P7" s="41"/>
      <c r="Q7" s="41"/>
    </row>
    <row r="8" spans="1:19" ht="30" customHeight="1" x14ac:dyDescent="0.2">
      <c r="A8" s="955"/>
      <c r="B8" s="790">
        <v>75</v>
      </c>
      <c r="C8" s="607">
        <v>2.5000000000000001E-2</v>
      </c>
      <c r="D8" s="429">
        <f t="shared" ref="D8:D15" si="0">C8*$C$17</f>
        <v>3424674.574976854</v>
      </c>
      <c r="E8" s="1047"/>
      <c r="F8" s="1047"/>
      <c r="G8" s="1047"/>
      <c r="H8" s="1047"/>
      <c r="I8" s="1047"/>
      <c r="J8" s="1047"/>
      <c r="K8" s="1047"/>
      <c r="L8" s="1047"/>
      <c r="M8" s="1047"/>
      <c r="N8" s="1047"/>
      <c r="O8" s="655"/>
      <c r="P8" s="41"/>
      <c r="Q8" s="41"/>
    </row>
    <row r="9" spans="1:19" ht="30" customHeight="1" x14ac:dyDescent="0.2">
      <c r="A9" s="955"/>
      <c r="B9" s="790">
        <v>85</v>
      </c>
      <c r="C9" s="607">
        <v>3.5000000000000003E-2</v>
      </c>
      <c r="D9" s="429">
        <f t="shared" si="0"/>
        <v>4794544.4049675958</v>
      </c>
      <c r="E9" s="1047"/>
      <c r="F9" s="1047"/>
      <c r="G9" s="1047"/>
      <c r="H9" s="1047"/>
      <c r="I9" s="1047"/>
      <c r="J9" s="1047"/>
      <c r="K9" s="1047"/>
      <c r="L9" s="1047"/>
      <c r="M9" s="1047"/>
      <c r="N9" s="1047"/>
      <c r="O9" s="655"/>
      <c r="P9" s="41"/>
      <c r="Q9" s="149"/>
    </row>
    <row r="10" spans="1:19" ht="30" customHeight="1" x14ac:dyDescent="0.2">
      <c r="A10" s="955"/>
      <c r="B10" s="790">
        <v>95</v>
      </c>
      <c r="C10" s="607">
        <v>4.4999999999999998E-2</v>
      </c>
      <c r="D10" s="429">
        <f t="shared" si="0"/>
        <v>6164414.2349583367</v>
      </c>
      <c r="E10" s="1047"/>
      <c r="F10" s="1047"/>
      <c r="G10" s="1047"/>
      <c r="H10" s="1047"/>
      <c r="I10" s="1047"/>
      <c r="J10" s="1047"/>
      <c r="K10" s="1047"/>
      <c r="L10" s="1047"/>
      <c r="M10" s="1047"/>
      <c r="N10" s="1047"/>
      <c r="O10" s="655"/>
      <c r="P10" s="41"/>
      <c r="Q10" s="41"/>
    </row>
    <row r="11" spans="1:19" ht="30" customHeight="1" x14ac:dyDescent="0.2">
      <c r="A11" s="955"/>
      <c r="B11" s="430">
        <v>100</v>
      </c>
      <c r="C11" s="431">
        <v>0.05</v>
      </c>
      <c r="D11" s="432">
        <f t="shared" si="0"/>
        <v>6849349.1499537081</v>
      </c>
      <c r="E11" s="1047"/>
      <c r="F11" s="1047"/>
      <c r="G11" s="1047"/>
      <c r="H11" s="1047"/>
      <c r="I11" s="1047"/>
      <c r="J11" s="1047"/>
      <c r="K11" s="1047"/>
      <c r="L11" s="1047"/>
      <c r="M11" s="1047"/>
      <c r="N11" s="1047"/>
      <c r="O11" s="655"/>
      <c r="P11" s="41"/>
      <c r="Q11" s="41"/>
    </row>
    <row r="12" spans="1:19" ht="30" customHeight="1" x14ac:dyDescent="0.2">
      <c r="A12" s="955"/>
      <c r="B12" s="790">
        <v>105</v>
      </c>
      <c r="C12" s="792">
        <v>5.2900000000000003E-2</v>
      </c>
      <c r="D12" s="429">
        <f t="shared" si="0"/>
        <v>7246611.4006510237</v>
      </c>
      <c r="E12" s="1047"/>
      <c r="F12" s="1047"/>
      <c r="G12" s="1047"/>
      <c r="H12" s="1047"/>
      <c r="I12" s="1047"/>
      <c r="J12" s="1047"/>
      <c r="K12" s="1047"/>
      <c r="L12" s="1047"/>
      <c r="M12" s="1047"/>
      <c r="N12" s="1047"/>
      <c r="O12" s="655"/>
      <c r="P12" s="41"/>
      <c r="Q12" s="41"/>
    </row>
    <row r="13" spans="1:19" ht="29.25" customHeight="1" x14ac:dyDescent="0.2">
      <c r="A13" s="955"/>
      <c r="B13" s="790">
        <v>115</v>
      </c>
      <c r="C13" s="792">
        <v>5.8599999999999999E-2</v>
      </c>
      <c r="D13" s="429">
        <f t="shared" si="0"/>
        <v>8027437.2037457461</v>
      </c>
      <c r="E13" s="1047"/>
      <c r="F13" s="1047"/>
      <c r="G13" s="1047"/>
      <c r="H13" s="1047"/>
      <c r="I13" s="1047"/>
      <c r="J13" s="1047"/>
      <c r="K13" s="1047"/>
      <c r="L13" s="1047"/>
      <c r="M13" s="1047"/>
      <c r="N13" s="1047"/>
      <c r="O13" s="655"/>
      <c r="P13" s="41"/>
      <c r="Q13" s="41"/>
    </row>
    <row r="14" spans="1:19" ht="30" customHeight="1" x14ac:dyDescent="0.2">
      <c r="A14" s="955"/>
      <c r="B14" s="790">
        <v>125</v>
      </c>
      <c r="C14" s="792">
        <v>6.4299999999999996E-2</v>
      </c>
      <c r="D14" s="429">
        <f t="shared" si="0"/>
        <v>8808263.0068404675</v>
      </c>
      <c r="E14" s="1047"/>
      <c r="F14" s="1047"/>
      <c r="G14" s="1047"/>
      <c r="H14" s="1047"/>
      <c r="I14" s="1047"/>
      <c r="J14" s="1047"/>
      <c r="K14" s="1047"/>
      <c r="L14" s="1047"/>
      <c r="M14" s="1047"/>
      <c r="N14" s="1047"/>
      <c r="O14" s="655"/>
      <c r="P14" s="41"/>
      <c r="Q14" s="41"/>
    </row>
    <row r="15" spans="1:19" ht="30" customHeight="1" x14ac:dyDescent="0.2">
      <c r="A15" s="955"/>
      <c r="B15" s="790">
        <v>135</v>
      </c>
      <c r="C15" s="792">
        <v>7.0000000000000007E-2</v>
      </c>
      <c r="D15" s="429">
        <f t="shared" si="0"/>
        <v>9589088.8099351916</v>
      </c>
      <c r="E15" s="1047"/>
      <c r="F15" s="1047"/>
      <c r="G15" s="1047"/>
      <c r="H15" s="1047"/>
      <c r="I15" s="1047"/>
      <c r="J15" s="1047"/>
      <c r="K15" s="1047"/>
      <c r="L15" s="1047"/>
      <c r="M15" s="1047"/>
      <c r="N15" s="1047"/>
      <c r="O15" s="655"/>
      <c r="P15" s="41"/>
      <c r="Q15" s="41"/>
    </row>
    <row r="16" spans="1:19" ht="25.5" customHeight="1" x14ac:dyDescent="0.2">
      <c r="A16" s="955"/>
      <c r="B16" s="656" t="s">
        <v>88</v>
      </c>
      <c r="C16" s="1086" t="s">
        <v>13</v>
      </c>
      <c r="D16" s="918"/>
      <c r="E16" s="1047"/>
      <c r="F16" s="1047"/>
      <c r="G16" s="1047"/>
      <c r="H16" s="1047"/>
      <c r="I16" s="1047"/>
      <c r="J16" s="1047"/>
      <c r="K16" s="1047"/>
      <c r="L16" s="1047"/>
      <c r="M16" s="1047"/>
      <c r="N16" s="1047"/>
      <c r="O16" s="655"/>
      <c r="P16" s="41"/>
      <c r="Q16" s="41"/>
    </row>
    <row r="17" spans="1:20" s="58" customFormat="1" ht="36" customHeight="1" x14ac:dyDescent="0.25">
      <c r="A17" s="955"/>
      <c r="B17" s="436" t="s">
        <v>2</v>
      </c>
      <c r="C17" s="437">
        <f>'ES CT Electric Table A  '!N54-'ES CT Electric Table A  '!N47-'ES CT Electric Table A  '!N46-'ES CT Electric Table A  '!N45-'ES CT Electric Table A  '!N43</f>
        <v>136986982.99907416</v>
      </c>
      <c r="D17" s="433"/>
      <c r="E17" s="1047"/>
      <c r="F17" s="1047"/>
      <c r="G17" s="1047"/>
      <c r="H17" s="1047"/>
      <c r="I17" s="1047"/>
      <c r="J17" s="1047"/>
      <c r="K17" s="1047"/>
      <c r="L17" s="1047"/>
      <c r="M17" s="1047"/>
      <c r="N17" s="1047"/>
      <c r="O17" s="655"/>
    </row>
    <row r="18" spans="1:20" ht="19.5" customHeight="1" x14ac:dyDescent="0.2">
      <c r="A18" s="955"/>
      <c r="B18" s="1048" t="s">
        <v>319</v>
      </c>
      <c r="C18" s="1048"/>
      <c r="D18" s="1048"/>
      <c r="E18" s="1047"/>
      <c r="F18" s="1047"/>
      <c r="G18" s="1047"/>
      <c r="H18" s="1047"/>
      <c r="I18" s="1047"/>
      <c r="J18" s="1047"/>
      <c r="K18" s="1047"/>
      <c r="L18" s="1047"/>
      <c r="M18" s="1047"/>
      <c r="N18" s="1047"/>
      <c r="O18" s="655"/>
      <c r="P18" s="41"/>
      <c r="Q18" s="41"/>
    </row>
    <row r="19" spans="1:20" ht="19.5" customHeight="1" x14ac:dyDescent="0.2">
      <c r="A19" s="955"/>
      <c r="B19" s="1048"/>
      <c r="C19" s="1048"/>
      <c r="D19" s="1048"/>
      <c r="E19" s="1047"/>
      <c r="F19" s="1047"/>
      <c r="G19" s="1047"/>
      <c r="H19" s="1047"/>
      <c r="I19" s="1047"/>
      <c r="J19" s="1047"/>
      <c r="K19" s="1047"/>
      <c r="L19" s="1047"/>
      <c r="M19" s="1047"/>
      <c r="N19" s="1047"/>
      <c r="O19" s="655"/>
      <c r="P19" s="41"/>
      <c r="Q19" s="41"/>
    </row>
    <row r="20" spans="1:20" ht="19.5" customHeight="1" x14ac:dyDescent="0.2">
      <c r="A20" s="955"/>
      <c r="B20" s="1048"/>
      <c r="C20" s="1048"/>
      <c r="D20" s="1048"/>
      <c r="E20" s="1047"/>
      <c r="F20" s="1047"/>
      <c r="G20" s="1047"/>
      <c r="H20" s="1047"/>
      <c r="I20" s="1047"/>
      <c r="J20" s="1047"/>
      <c r="K20" s="1047"/>
      <c r="L20" s="1047"/>
      <c r="M20" s="1047"/>
      <c r="N20" s="1047"/>
      <c r="O20" s="655"/>
      <c r="P20" s="41"/>
      <c r="Q20" s="41"/>
    </row>
    <row r="21" spans="1:20" ht="7.5" customHeight="1" x14ac:dyDescent="0.2">
      <c r="A21" s="955"/>
      <c r="B21" s="1048"/>
      <c r="C21" s="1048"/>
      <c r="D21" s="1048"/>
      <c r="E21" s="1047"/>
      <c r="F21" s="1047"/>
      <c r="G21" s="1047"/>
      <c r="H21" s="1047"/>
      <c r="I21" s="1047"/>
      <c r="J21" s="1047"/>
      <c r="K21" s="1047"/>
      <c r="L21" s="1047"/>
      <c r="M21" s="1047"/>
      <c r="N21" s="1047"/>
      <c r="O21" s="655"/>
      <c r="P21" s="41"/>
      <c r="Q21" s="41"/>
    </row>
    <row r="22" spans="1:20" ht="12" hidden="1" customHeight="1" x14ac:dyDescent="0.2">
      <c r="A22" s="955"/>
      <c r="B22" s="1048"/>
      <c r="C22" s="1048"/>
      <c r="D22" s="1048"/>
      <c r="E22" s="1047"/>
      <c r="F22" s="1047"/>
      <c r="G22" s="1047"/>
      <c r="H22" s="1047"/>
      <c r="I22" s="1047"/>
      <c r="J22" s="1047"/>
      <c r="K22" s="1047"/>
      <c r="L22" s="1047"/>
      <c r="M22" s="1047"/>
      <c r="N22" s="1047"/>
      <c r="O22" s="655"/>
      <c r="P22" s="41"/>
      <c r="Q22" s="41"/>
    </row>
    <row r="23" spans="1:20" ht="43.5" hidden="1" customHeight="1" x14ac:dyDescent="0.2">
      <c r="A23" s="955"/>
      <c r="B23" s="1048"/>
      <c r="C23" s="1048"/>
      <c r="D23" s="1048"/>
      <c r="E23" s="1047"/>
      <c r="F23" s="1047"/>
      <c r="G23" s="1047"/>
      <c r="H23" s="1047"/>
      <c r="I23" s="1047"/>
      <c r="J23" s="1047"/>
      <c r="K23" s="1047"/>
      <c r="L23" s="1047"/>
      <c r="M23" s="1047"/>
      <c r="N23" s="1047"/>
      <c r="O23" s="655"/>
      <c r="P23" s="41"/>
      <c r="Q23" s="41"/>
    </row>
    <row r="24" spans="1:20" ht="18.75" hidden="1" customHeight="1" x14ac:dyDescent="0.2">
      <c r="A24" s="955"/>
      <c r="B24" s="1048"/>
      <c r="C24" s="1048"/>
      <c r="D24" s="1048"/>
      <c r="E24" s="1047"/>
      <c r="F24" s="1047"/>
      <c r="G24" s="1047"/>
      <c r="H24" s="1047"/>
      <c r="I24" s="1047"/>
      <c r="J24" s="1047"/>
      <c r="K24" s="1047"/>
      <c r="L24" s="1047"/>
      <c r="M24" s="1047"/>
      <c r="N24" s="1047"/>
      <c r="O24" s="655"/>
      <c r="P24" s="41"/>
      <c r="Q24" s="41"/>
    </row>
    <row r="25" spans="1:20" ht="21" customHeight="1" thickBot="1" x14ac:dyDescent="0.25">
      <c r="B25" s="41"/>
      <c r="C25" s="41"/>
      <c r="D25" s="41"/>
      <c r="E25" s="41"/>
      <c r="F25" s="41"/>
      <c r="G25" s="41"/>
      <c r="H25" s="41"/>
      <c r="I25" s="41"/>
      <c r="J25" s="41"/>
      <c r="K25" s="41"/>
      <c r="L25" s="41"/>
      <c r="M25" s="655"/>
      <c r="P25" s="41"/>
      <c r="Q25" s="41"/>
    </row>
    <row r="26" spans="1:20" ht="19.5" customHeight="1" thickBot="1" x14ac:dyDescent="0.25">
      <c r="A26" s="955"/>
      <c r="B26" s="1052" t="s">
        <v>64</v>
      </c>
      <c r="C26" s="1052"/>
      <c r="D26" s="1051" t="s">
        <v>65</v>
      </c>
      <c r="E26" s="1051"/>
      <c r="F26" s="1051"/>
      <c r="G26" s="1051"/>
      <c r="H26" s="1051"/>
      <c r="I26" s="1051"/>
      <c r="J26" s="658"/>
      <c r="K26" s="1052" t="s">
        <v>66</v>
      </c>
      <c r="L26" s="1052"/>
      <c r="M26" s="1052"/>
      <c r="N26" s="1052"/>
      <c r="O26" s="618"/>
      <c r="P26" s="41"/>
      <c r="Q26" s="41"/>
    </row>
    <row r="27" spans="1:20" ht="31.5" customHeight="1" thickBot="1" x14ac:dyDescent="0.25">
      <c r="A27" s="955"/>
      <c r="B27" s="1052"/>
      <c r="C27" s="1052"/>
      <c r="D27" s="1051"/>
      <c r="E27" s="1051"/>
      <c r="F27" s="1051"/>
      <c r="G27" s="1051"/>
      <c r="H27" s="1051"/>
      <c r="I27" s="1051"/>
      <c r="J27" s="658"/>
      <c r="K27" s="658" t="s">
        <v>67</v>
      </c>
      <c r="L27" s="658" t="s">
        <v>68</v>
      </c>
      <c r="M27" s="658" t="s">
        <v>69</v>
      </c>
      <c r="N27" s="461" t="s">
        <v>70</v>
      </c>
      <c r="O27" s="619"/>
      <c r="P27" s="41"/>
      <c r="Q27" s="41"/>
    </row>
    <row r="28" spans="1:20" ht="19.5" customHeight="1" thickBot="1" x14ac:dyDescent="0.25">
      <c r="A28" s="955"/>
      <c r="B28" s="1059"/>
      <c r="C28" s="1059"/>
      <c r="D28" s="1059"/>
      <c r="E28" s="1059"/>
      <c r="F28" s="1059"/>
      <c r="G28" s="1059"/>
      <c r="H28" s="1059"/>
      <c r="I28" s="1059"/>
      <c r="J28" s="1059"/>
      <c r="K28" s="1059"/>
      <c r="L28" s="1059"/>
      <c r="M28" s="1059"/>
      <c r="N28" s="1059"/>
      <c r="O28" s="620"/>
      <c r="P28" s="41"/>
      <c r="Q28" s="41"/>
    </row>
    <row r="29" spans="1:20" ht="17.25" customHeight="1" x14ac:dyDescent="0.2">
      <c r="A29" s="955"/>
      <c r="B29" s="1060" t="s">
        <v>15</v>
      </c>
      <c r="C29" s="1060"/>
      <c r="D29" s="1034" t="s">
        <v>71</v>
      </c>
      <c r="E29" s="1034" t="s">
        <v>72</v>
      </c>
      <c r="F29" s="1034"/>
      <c r="G29" s="1034" t="s">
        <v>73</v>
      </c>
      <c r="H29" s="1034"/>
      <c r="I29" s="1036" t="s">
        <v>430</v>
      </c>
      <c r="J29" s="660" t="s">
        <v>431</v>
      </c>
      <c r="K29" s="1039"/>
      <c r="L29" s="1039"/>
      <c r="M29" s="1039"/>
      <c r="N29" s="1041"/>
      <c r="O29" s="621"/>
      <c r="P29" s="41"/>
      <c r="Q29" s="41"/>
    </row>
    <row r="30" spans="1:20" ht="18.75" customHeight="1" thickBot="1" x14ac:dyDescent="0.25">
      <c r="A30" s="955"/>
      <c r="B30" s="1061"/>
      <c r="C30" s="1061"/>
      <c r="D30" s="1035"/>
      <c r="E30" s="1035"/>
      <c r="F30" s="1035"/>
      <c r="G30" s="1035"/>
      <c r="H30" s="1035"/>
      <c r="I30" s="1037"/>
      <c r="J30" s="661"/>
      <c r="K30" s="1040"/>
      <c r="L30" s="1040"/>
      <c r="M30" s="1040"/>
      <c r="N30" s="1042"/>
      <c r="O30" s="621"/>
      <c r="P30" s="41"/>
      <c r="Q30" s="41"/>
      <c r="T30" s="41"/>
    </row>
    <row r="31" spans="1:20" ht="19.5" customHeight="1" thickBot="1" x14ac:dyDescent="0.25">
      <c r="A31" s="955"/>
      <c r="B31" s="973" t="s">
        <v>314</v>
      </c>
      <c r="C31" s="970">
        <f>'ES CT Electric Table A  '!N16/1000</f>
        <v>57666.720700000005</v>
      </c>
      <c r="D31" s="1088"/>
      <c r="E31" s="1089"/>
      <c r="F31" s="1089"/>
      <c r="G31" s="1089"/>
      <c r="H31" s="1089"/>
      <c r="I31" s="1089"/>
      <c r="J31" s="1090"/>
      <c r="K31" s="1014" t="s">
        <v>471</v>
      </c>
      <c r="L31" s="1137" t="s">
        <v>472</v>
      </c>
      <c r="M31" s="1071">
        <v>0.2099</v>
      </c>
      <c r="N31" s="1043">
        <f>$D$11*M31</f>
        <v>1437678.3865752832</v>
      </c>
      <c r="O31" s="622"/>
      <c r="P31" s="41"/>
      <c r="Q31" s="41"/>
    </row>
    <row r="32" spans="1:20" ht="3.75" customHeight="1" thickBot="1" x14ac:dyDescent="0.25">
      <c r="A32" s="955"/>
      <c r="B32" s="973"/>
      <c r="C32" s="970"/>
      <c r="D32" s="1091"/>
      <c r="E32" s="1092"/>
      <c r="F32" s="1092"/>
      <c r="G32" s="1092"/>
      <c r="H32" s="1092"/>
      <c r="I32" s="1092"/>
      <c r="J32" s="1093"/>
      <c r="K32" s="1014"/>
      <c r="L32" s="1138"/>
      <c r="M32" s="1071"/>
      <c r="N32" s="1043"/>
      <c r="O32" s="622"/>
      <c r="P32" s="41"/>
      <c r="Q32" s="41"/>
    </row>
    <row r="33" spans="1:20" ht="18.75" customHeight="1" thickBot="1" x14ac:dyDescent="0.3">
      <c r="A33" s="955"/>
      <c r="B33" s="973"/>
      <c r="C33" s="970"/>
      <c r="D33" s="441" t="s">
        <v>96</v>
      </c>
      <c r="E33" s="997">
        <f>'2014-24 ESCTETable D3-lftimekWh'!O8*1000</f>
        <v>60395174.542057157</v>
      </c>
      <c r="F33" s="997"/>
      <c r="G33" s="1038">
        <f>'2014-24 ES CT E Table D1-kW'!O8</f>
        <v>788.91533982283033</v>
      </c>
      <c r="H33" s="1038"/>
      <c r="I33" s="638">
        <f>'[18]Eversource Elect_Table_B'!U34</f>
        <v>87081.629684020343</v>
      </c>
      <c r="J33" s="638">
        <f>'[18]Eversource Elect_Table_B'!W34</f>
        <v>-82.514012790311199</v>
      </c>
      <c r="K33" s="1014"/>
      <c r="L33" s="1138"/>
      <c r="M33" s="1071"/>
      <c r="N33" s="1043"/>
      <c r="O33" s="629"/>
      <c r="P33" s="613"/>
      <c r="Q33" s="156"/>
      <c r="R33" s="37"/>
      <c r="S33" s="70"/>
      <c r="T33" s="37"/>
    </row>
    <row r="34" spans="1:20" ht="37.5" customHeight="1" thickBot="1" x14ac:dyDescent="0.3">
      <c r="A34" s="955"/>
      <c r="B34" s="973"/>
      <c r="C34" s="970"/>
      <c r="D34" s="441" t="s">
        <v>75</v>
      </c>
      <c r="E34" s="997">
        <f>'2014-24 ESCTETable D3-lftimekWh'!O9*1000</f>
        <v>54107385.948272914</v>
      </c>
      <c r="F34" s="997"/>
      <c r="G34" s="1038">
        <f>'2014-24 ES CT E Table D1-kW'!O9</f>
        <v>394.49135229343926</v>
      </c>
      <c r="H34" s="1038"/>
      <c r="I34" s="638">
        <f>'[18]Eversource Elect_Table_B'!U35</f>
        <v>0</v>
      </c>
      <c r="J34" s="638">
        <f>'[18]Eversource Elect_Table_B'!W35</f>
        <v>527645.47811155522</v>
      </c>
      <c r="K34" s="1014"/>
      <c r="L34" s="1139"/>
      <c r="M34" s="1071"/>
      <c r="N34" s="1043"/>
      <c r="O34" s="629"/>
      <c r="P34" s="613"/>
      <c r="Q34" s="156"/>
      <c r="R34" s="37"/>
      <c r="S34" s="70"/>
      <c r="T34" s="37"/>
    </row>
    <row r="35" spans="1:20" ht="34.5" customHeight="1" thickBot="1" x14ac:dyDescent="0.3">
      <c r="A35" s="955"/>
      <c r="B35" s="973"/>
      <c r="C35" s="970"/>
      <c r="D35" s="441" t="s">
        <v>109</v>
      </c>
      <c r="E35" s="997">
        <f>'2014-24 ESCTETable D3-lftimekWh'!O10*1000</f>
        <v>54469555.471267633</v>
      </c>
      <c r="F35" s="997"/>
      <c r="G35" s="1038">
        <f>'2014-24 ES CT E Table D1-kW'!O10</f>
        <v>1204.9494104799571</v>
      </c>
      <c r="H35" s="1038"/>
      <c r="I35" s="638">
        <f>'[18]Eversource Elect_Table_B'!U36</f>
        <v>7664997.3926684074</v>
      </c>
      <c r="J35" s="638">
        <f>'[18]Eversource Elect_Table_B'!W36</f>
        <v>819539.42919308518</v>
      </c>
      <c r="K35" s="1014"/>
      <c r="L35" s="1056">
        <f>E43+G43+I43+J43</f>
        <v>153248272.89829451</v>
      </c>
      <c r="M35" s="1071"/>
      <c r="N35" s="1043"/>
      <c r="O35" s="629"/>
      <c r="P35" s="613"/>
      <c r="Q35" s="156"/>
      <c r="R35" s="37"/>
      <c r="S35" s="70"/>
      <c r="T35" s="37"/>
    </row>
    <row r="36" spans="1:20" ht="42" customHeight="1" thickBot="1" x14ac:dyDescent="0.3">
      <c r="A36" s="955"/>
      <c r="B36" s="973"/>
      <c r="C36" s="970"/>
      <c r="D36" s="754" t="s">
        <v>521</v>
      </c>
      <c r="E36" s="997">
        <f>'2014-24 ESCTETable D3-lftimekWh'!O11*1000</f>
        <v>-3033446.1816952797</v>
      </c>
      <c r="F36" s="997"/>
      <c r="G36" s="1038">
        <f>'2014-24 ES CT E Table D1-kW'!O11</f>
        <v>1118.7406888718137</v>
      </c>
      <c r="H36" s="1038"/>
      <c r="I36" s="638">
        <f>'[18]Eversource Elect_Table_B'!U37</f>
        <v>8673374.2469254211</v>
      </c>
      <c r="J36" s="638">
        <f>'[18]Eversource Elect_Table_B'!W37</f>
        <v>3256671.8190341205</v>
      </c>
      <c r="K36" s="1014"/>
      <c r="L36" s="1057"/>
      <c r="M36" s="1071"/>
      <c r="N36" s="1043"/>
      <c r="O36" s="629"/>
      <c r="P36" s="613"/>
      <c r="Q36" s="156"/>
      <c r="R36" s="37"/>
      <c r="S36" s="70"/>
      <c r="T36" s="37"/>
    </row>
    <row r="37" spans="1:20" ht="41.25" customHeight="1" thickBot="1" x14ac:dyDescent="0.3">
      <c r="A37" s="955"/>
      <c r="B37" s="973"/>
      <c r="C37" s="970"/>
      <c r="D37" s="441" t="s">
        <v>320</v>
      </c>
      <c r="E37" s="997">
        <f>'2014-24 ESCTETable D3-lftimekWh'!O12*1000</f>
        <v>29679066.947092991</v>
      </c>
      <c r="F37" s="997"/>
      <c r="G37" s="1038">
        <f>'2014-24 ES CT E Table D1-kW'!O12</f>
        <v>339.76944884085049</v>
      </c>
      <c r="H37" s="1038"/>
      <c r="I37" s="638">
        <f>'[18]Eversource Elect_Table_B'!U38</f>
        <v>3803279.4509943593</v>
      </c>
      <c r="J37" s="638">
        <f>'[18]Eversource Elect_Table_B'!W38</f>
        <v>318563.2429138791</v>
      </c>
      <c r="K37" s="1014"/>
      <c r="L37" s="1057"/>
      <c r="M37" s="1071"/>
      <c r="N37" s="1043"/>
      <c r="O37" s="629"/>
      <c r="P37" s="613"/>
      <c r="Q37" s="156"/>
      <c r="R37" s="37"/>
      <c r="S37" s="70"/>
      <c r="T37" s="37"/>
    </row>
    <row r="38" spans="1:20" ht="24.75" customHeight="1" thickBot="1" x14ac:dyDescent="0.3">
      <c r="A38" s="955"/>
      <c r="B38" s="973"/>
      <c r="C38" s="970"/>
      <c r="D38" s="441" t="s">
        <v>218</v>
      </c>
      <c r="E38" s="997">
        <f>'2014-24 ESCTETable D3-lftimekWh'!O13*1000</f>
        <v>1430000</v>
      </c>
      <c r="F38" s="997"/>
      <c r="G38" s="1038">
        <f>'2014-24 ES CT E Table D1-kW'!O13</f>
        <v>81.621004566210047</v>
      </c>
      <c r="H38" s="1038"/>
      <c r="I38" s="638">
        <f>'[18]Eversource Elect_Table_B'!U39</f>
        <v>0</v>
      </c>
      <c r="J38" s="638">
        <f>'[18]Eversource Elect_Table_B'!W39</f>
        <v>0</v>
      </c>
      <c r="K38" s="1014"/>
      <c r="L38" s="1057"/>
      <c r="M38" s="1071"/>
      <c r="N38" s="1043"/>
      <c r="O38" s="629"/>
      <c r="P38" s="613"/>
      <c r="Q38" s="156"/>
      <c r="R38" s="37"/>
      <c r="S38" s="70"/>
      <c r="T38" s="37"/>
    </row>
    <row r="39" spans="1:20" ht="18.75" customHeight="1" thickBot="1" x14ac:dyDescent="0.25">
      <c r="A39" s="955"/>
      <c r="B39" s="973"/>
      <c r="C39" s="970"/>
      <c r="D39" s="973"/>
      <c r="E39" s="973"/>
      <c r="F39" s="973"/>
      <c r="G39" s="973"/>
      <c r="H39" s="973"/>
      <c r="I39" s="973"/>
      <c r="J39" s="647"/>
      <c r="K39" s="1014"/>
      <c r="L39" s="1057"/>
      <c r="M39" s="1071"/>
      <c r="N39" s="1043"/>
      <c r="O39" s="622"/>
      <c r="P39" s="41"/>
      <c r="Q39" s="611"/>
      <c r="R39" s="612"/>
      <c r="S39" s="611"/>
      <c r="T39" s="612"/>
    </row>
    <row r="40" spans="1:20" ht="18.75" customHeight="1" thickBot="1" x14ac:dyDescent="0.3">
      <c r="A40" s="955"/>
      <c r="B40" s="973"/>
      <c r="C40" s="970"/>
      <c r="D40" s="441" t="s">
        <v>76</v>
      </c>
      <c r="E40" s="998">
        <f>ROUND(SUM(E33:E38),0)</f>
        <v>197047737</v>
      </c>
      <c r="F40" s="998"/>
      <c r="G40" s="998">
        <f>ROUND(SUM(G33:G38),0)</f>
        <v>3928</v>
      </c>
      <c r="H40" s="998"/>
      <c r="I40" s="638">
        <f>SUM(I33:I38)</f>
        <v>20228732.720272206</v>
      </c>
      <c r="J40" s="638">
        <f>SUM(J33:J38)</f>
        <v>4922337.4552398501</v>
      </c>
      <c r="K40" s="1014"/>
      <c r="L40" s="1057"/>
      <c r="M40" s="1071"/>
      <c r="N40" s="1043"/>
      <c r="O40" s="622"/>
      <c r="P40" s="41"/>
      <c r="Q40" s="41"/>
      <c r="R40" s="614"/>
      <c r="S40" s="41"/>
      <c r="T40" s="614"/>
    </row>
    <row r="41" spans="1:20" ht="18.75" customHeight="1" thickBot="1" x14ac:dyDescent="0.25">
      <c r="A41" s="955"/>
      <c r="B41" s="973"/>
      <c r="C41" s="970"/>
      <c r="D41" s="973"/>
      <c r="E41" s="973"/>
      <c r="F41" s="973"/>
      <c r="G41" s="973"/>
      <c r="H41" s="973"/>
      <c r="I41" s="973"/>
      <c r="J41" s="647"/>
      <c r="K41" s="1014"/>
      <c r="L41" s="1057"/>
      <c r="M41" s="1071"/>
      <c r="N41" s="1043"/>
      <c r="O41" s="622"/>
      <c r="P41" s="41"/>
      <c r="Q41" s="41"/>
    </row>
    <row r="42" spans="1:20" ht="18.75" thickBot="1" x14ac:dyDescent="0.3">
      <c r="A42" s="955"/>
      <c r="B42" s="973"/>
      <c r="C42" s="970"/>
      <c r="D42" s="441" t="s">
        <v>77</v>
      </c>
      <c r="E42" s="853">
        <f>E43/E40</f>
        <v>0.11979696801268977</v>
      </c>
      <c r="F42" s="676" t="s">
        <v>4</v>
      </c>
      <c r="G42" s="690">
        <f>G43/G40</f>
        <v>3012.4039724198947</v>
      </c>
      <c r="H42" s="677" t="s">
        <v>5</v>
      </c>
      <c r="I42" s="630">
        <f>I43/I40</f>
        <v>4.9856483150146644</v>
      </c>
      <c r="J42" s="630">
        <f>J43/J40</f>
        <v>3.4448027183731367</v>
      </c>
      <c r="K42" s="1014"/>
      <c r="L42" s="1057"/>
      <c r="M42" s="1071"/>
      <c r="N42" s="1043"/>
      <c r="O42" s="622"/>
      <c r="P42" s="41"/>
      <c r="Q42" s="609"/>
      <c r="R42" s="610"/>
    </row>
    <row r="43" spans="1:20" ht="21" customHeight="1" thickBot="1" x14ac:dyDescent="0.3">
      <c r="A43" s="955"/>
      <c r="B43" s="973"/>
      <c r="C43" s="970"/>
      <c r="D43" s="440" t="s">
        <v>216</v>
      </c>
      <c r="E43" s="1094">
        <f>'[18]Eversource Elect_Table_B'!$BQ$40</f>
        <v>23605721.446361907</v>
      </c>
      <c r="F43" s="1094"/>
      <c r="G43" s="1094">
        <f>'[18]Eversource Elect_Table_B'!$BY$40</f>
        <v>11832722.803665346</v>
      </c>
      <c r="H43" s="1094"/>
      <c r="I43" s="685">
        <f>'[18]Eversource Elect_Table_B'!$CC$40</f>
        <v>100853347.20170712</v>
      </c>
      <c r="J43" s="685">
        <f>'[18]Eversource Elect_Table_B'!$CD$40</f>
        <v>16956481.446560144</v>
      </c>
      <c r="K43" s="1014"/>
      <c r="L43" s="1057"/>
      <c r="M43" s="1071"/>
      <c r="N43" s="1043"/>
      <c r="O43" s="622"/>
      <c r="P43" s="41"/>
      <c r="Q43" s="41"/>
    </row>
    <row r="44" spans="1:20" ht="22.5" customHeight="1" thickBot="1" x14ac:dyDescent="0.25">
      <c r="A44" s="955"/>
      <c r="B44" s="973"/>
      <c r="C44" s="970"/>
      <c r="D44" s="1065"/>
      <c r="E44" s="1065"/>
      <c r="F44" s="1065"/>
      <c r="G44" s="1065"/>
      <c r="H44" s="1065"/>
      <c r="I44" s="1065"/>
      <c r="J44" s="652"/>
      <c r="K44" s="1014"/>
      <c r="L44" s="1058"/>
      <c r="M44" s="1071"/>
      <c r="N44" s="1043"/>
      <c r="O44" s="622"/>
      <c r="P44" s="41"/>
      <c r="Q44" s="41"/>
    </row>
    <row r="45" spans="1:20" ht="45" customHeight="1" thickBot="1" x14ac:dyDescent="0.25">
      <c r="A45" s="955"/>
      <c r="B45" s="664" t="s">
        <v>473</v>
      </c>
      <c r="C45" s="442"/>
      <c r="D45" s="1140" t="s">
        <v>543</v>
      </c>
      <c r="E45" s="1141"/>
      <c r="F45" s="1141"/>
      <c r="G45" s="1141"/>
      <c r="H45" s="1098">
        <f>L35-C31*1000</f>
        <v>95581552.198294505</v>
      </c>
      <c r="I45" s="1099"/>
      <c r="J45" s="651"/>
      <c r="K45" s="659"/>
      <c r="L45" s="646">
        <f>H45</f>
        <v>95581552.198294505</v>
      </c>
      <c r="M45" s="445">
        <v>0.2099</v>
      </c>
      <c r="N45" s="646">
        <f>$D$11*M45</f>
        <v>1437678.3865752832</v>
      </c>
      <c r="O45" s="623"/>
      <c r="P45" s="41"/>
      <c r="Q45" s="41"/>
      <c r="T45" s="37"/>
    </row>
    <row r="46" spans="1:20" ht="45" customHeight="1" thickBot="1" x14ac:dyDescent="0.25">
      <c r="A46" s="955"/>
      <c r="B46" s="976" t="s">
        <v>433</v>
      </c>
      <c r="C46" s="637">
        <f>'ES CT Electric Table A  '!N24/1000</f>
        <v>3082</v>
      </c>
      <c r="D46" s="682" t="s">
        <v>434</v>
      </c>
      <c r="E46" s="681"/>
      <c r="F46" s="681"/>
      <c r="G46" s="681">
        <f>'2014-24 ES CT E Table D1-kW'!O23</f>
        <v>14426.5</v>
      </c>
      <c r="H46" s="693" t="s">
        <v>73</v>
      </c>
      <c r="I46" s="651"/>
      <c r="J46" s="651"/>
      <c r="K46" s="659"/>
      <c r="L46" s="667"/>
      <c r="M46" s="445"/>
      <c r="N46" s="646"/>
      <c r="O46" s="623"/>
      <c r="P46" s="41"/>
      <c r="Q46" s="41"/>
      <c r="T46" s="37"/>
    </row>
    <row r="47" spans="1:20" ht="55.5" customHeight="1" thickBot="1" x14ac:dyDescent="0.25">
      <c r="A47" s="955"/>
      <c r="B47" s="978"/>
      <c r="C47" s="442"/>
      <c r="D47" s="681" t="s">
        <v>436</v>
      </c>
      <c r="E47" s="684">
        <f>'[18]Eversource Elect_Table_B'!$E$48*1000</f>
        <v>3231791.1238835179</v>
      </c>
      <c r="F47" s="684" t="s">
        <v>437</v>
      </c>
      <c r="G47" s="686">
        <f>E47/G46</f>
        <v>224.0176843921615</v>
      </c>
      <c r="H47" s="683" t="s">
        <v>438</v>
      </c>
      <c r="I47" s="672"/>
      <c r="J47" s="651"/>
      <c r="K47" s="670" t="s">
        <v>439</v>
      </c>
      <c r="L47" s="678">
        <f>E47</f>
        <v>3231791.1238835179</v>
      </c>
      <c r="M47" s="445">
        <v>4.4999999999999997E-3</v>
      </c>
      <c r="N47" s="646">
        <f>$D$11*M47</f>
        <v>30822.071174791683</v>
      </c>
      <c r="O47" s="623"/>
      <c r="P47" s="41"/>
      <c r="Q47" s="41"/>
      <c r="T47" s="37"/>
    </row>
    <row r="48" spans="1:20" ht="55.5" customHeight="1" thickBot="1" x14ac:dyDescent="0.25">
      <c r="A48" s="955"/>
      <c r="B48" s="653" t="s">
        <v>478</v>
      </c>
      <c r="C48" s="442"/>
      <c r="D48" s="1140" t="s">
        <v>469</v>
      </c>
      <c r="E48" s="1141"/>
      <c r="F48" s="1141"/>
      <c r="G48" s="1141"/>
      <c r="H48" s="688"/>
      <c r="I48" s="672">
        <f>E47-C46*1000</f>
        <v>149791.12388351792</v>
      </c>
      <c r="J48" s="651"/>
      <c r="K48" s="670" t="s">
        <v>470</v>
      </c>
      <c r="L48" s="678">
        <f>L47-C46*1000</f>
        <v>149791.12388351792</v>
      </c>
      <c r="M48" s="445">
        <v>4.4999999999999997E-3</v>
      </c>
      <c r="N48" s="646">
        <f>$D$11*M48</f>
        <v>30822.071174791683</v>
      </c>
      <c r="O48" s="623"/>
      <c r="P48" s="41"/>
      <c r="Q48" s="41"/>
      <c r="T48" s="37"/>
    </row>
    <row r="49" spans="1:17" ht="44.25" customHeight="1" thickBot="1" x14ac:dyDescent="0.3">
      <c r="A49" s="955"/>
      <c r="B49" s="1073" t="s">
        <v>109</v>
      </c>
      <c r="C49" s="979">
        <f>'ES CT Electric Table A  '!N12/1000</f>
        <v>20600.573700000001</v>
      </c>
      <c r="D49" s="1045" t="s">
        <v>3</v>
      </c>
      <c r="E49" s="1045"/>
      <c r="F49" s="1045"/>
      <c r="G49" s="1062">
        <f>E35</f>
        <v>54469555.471267633</v>
      </c>
      <c r="H49" s="1062"/>
      <c r="I49" s="1080"/>
      <c r="J49" s="1100"/>
      <c r="K49" s="1081" t="s">
        <v>324</v>
      </c>
      <c r="L49" s="970"/>
      <c r="M49" s="1082"/>
      <c r="N49" s="970"/>
      <c r="O49" s="623"/>
      <c r="P49" s="41"/>
      <c r="Q49" s="41"/>
    </row>
    <row r="50" spans="1:17" ht="36.75" customHeight="1" thickBot="1" x14ac:dyDescent="0.3">
      <c r="A50" s="955"/>
      <c r="B50" s="1074"/>
      <c r="C50" s="980"/>
      <c r="D50" s="1045" t="s">
        <v>85</v>
      </c>
      <c r="E50" s="1045"/>
      <c r="F50" s="1045"/>
      <c r="G50" s="1062">
        <f>G35</f>
        <v>1204.9494104799571</v>
      </c>
      <c r="H50" s="1062"/>
      <c r="I50" s="1080"/>
      <c r="J50" s="1101"/>
      <c r="K50" s="1081"/>
      <c r="L50" s="970"/>
      <c r="M50" s="1082"/>
      <c r="N50" s="970"/>
      <c r="O50" s="623"/>
      <c r="P50" s="41"/>
      <c r="Q50" s="41"/>
    </row>
    <row r="51" spans="1:17" ht="18.75" customHeight="1" thickBot="1" x14ac:dyDescent="0.25">
      <c r="A51" s="955"/>
      <c r="B51" s="1074"/>
      <c r="C51" s="980"/>
      <c r="D51" s="969" t="s">
        <v>444</v>
      </c>
      <c r="E51" s="969"/>
      <c r="F51" s="969"/>
      <c r="G51" s="969"/>
      <c r="H51" s="969"/>
      <c r="I51" s="969"/>
      <c r="J51" s="991"/>
      <c r="K51" s="969" t="s">
        <v>447</v>
      </c>
      <c r="L51" s="1083" t="s">
        <v>448</v>
      </c>
      <c r="M51" s="1079">
        <v>0.01</v>
      </c>
      <c r="N51" s="1044">
        <f>$D$11*M51</f>
        <v>68493.491499537078</v>
      </c>
      <c r="O51" s="624"/>
      <c r="P51" s="41"/>
      <c r="Q51" s="41"/>
    </row>
    <row r="52" spans="1:17" ht="19.5" customHeight="1" thickBot="1" x14ac:dyDescent="0.25">
      <c r="A52" s="955"/>
      <c r="B52" s="1074"/>
      <c r="C52" s="980"/>
      <c r="D52" s="969"/>
      <c r="E52" s="969"/>
      <c r="F52" s="969"/>
      <c r="G52" s="969"/>
      <c r="H52" s="969"/>
      <c r="I52" s="969"/>
      <c r="J52" s="1018"/>
      <c r="K52" s="969"/>
      <c r="L52" s="1083"/>
      <c r="M52" s="1079"/>
      <c r="N52" s="1044"/>
      <c r="O52" s="624"/>
      <c r="P52" s="41"/>
      <c r="Q52" s="41"/>
    </row>
    <row r="53" spans="1:17" s="155" customFormat="1" ht="74.25" customHeight="1" thickBot="1" x14ac:dyDescent="0.25">
      <c r="A53" s="955"/>
      <c r="B53" s="1074"/>
      <c r="C53" s="980"/>
      <c r="D53" s="969"/>
      <c r="E53" s="969"/>
      <c r="F53" s="969"/>
      <c r="G53" s="969"/>
      <c r="H53" s="969"/>
      <c r="I53" s="969"/>
      <c r="J53" s="1102"/>
      <c r="K53" s="969"/>
      <c r="L53" s="1083"/>
      <c r="M53" s="1079"/>
      <c r="N53" s="1044"/>
      <c r="O53" s="624"/>
      <c r="P53" s="153"/>
      <c r="Q53" s="154"/>
    </row>
    <row r="54" spans="1:17" s="155" customFormat="1" ht="114.75" customHeight="1" thickBot="1" x14ac:dyDescent="0.25">
      <c r="A54" s="955"/>
      <c r="B54" s="1074"/>
      <c r="C54" s="980"/>
      <c r="D54" s="1001" t="s">
        <v>445</v>
      </c>
      <c r="E54" s="1142"/>
      <c r="F54" s="1142"/>
      <c r="G54" s="1142"/>
      <c r="H54" s="1142"/>
      <c r="I54" s="1143"/>
      <c r="J54" s="642"/>
      <c r="K54" s="642" t="s">
        <v>449</v>
      </c>
      <c r="L54" s="650" t="s">
        <v>450</v>
      </c>
      <c r="M54" s="649">
        <v>0.01</v>
      </c>
      <c r="N54" s="644">
        <f>$D$11*M54</f>
        <v>68493.491499537078</v>
      </c>
      <c r="O54" s="624"/>
      <c r="P54" s="153"/>
      <c r="Q54" s="154"/>
    </row>
    <row r="55" spans="1:17" ht="95.25" customHeight="1" thickBot="1" x14ac:dyDescent="0.25">
      <c r="A55" s="955"/>
      <c r="B55" s="1075"/>
      <c r="C55" s="981"/>
      <c r="D55" s="969" t="s">
        <v>446</v>
      </c>
      <c r="E55" s="969"/>
      <c r="F55" s="969"/>
      <c r="G55" s="969"/>
      <c r="H55" s="969"/>
      <c r="I55" s="969"/>
      <c r="J55" s="642"/>
      <c r="K55" s="642" t="s">
        <v>331</v>
      </c>
      <c r="L55" s="650" t="s">
        <v>451</v>
      </c>
      <c r="M55" s="649">
        <v>0.01</v>
      </c>
      <c r="N55" s="644">
        <f>$D$11*M55</f>
        <v>68493.491499537078</v>
      </c>
      <c r="O55" s="624"/>
      <c r="P55" s="93"/>
      <c r="Q55" s="41"/>
    </row>
    <row r="56" spans="1:17" ht="55.5" customHeight="1" thickBot="1" x14ac:dyDescent="0.3">
      <c r="A56" s="1000"/>
      <c r="B56" s="973" t="s">
        <v>111</v>
      </c>
      <c r="C56" s="970">
        <f>'ES CT Electric Table A  '!N11/1000</f>
        <v>3505.8319999999999</v>
      </c>
      <c r="D56" s="971" t="s">
        <v>3</v>
      </c>
      <c r="E56" s="971"/>
      <c r="F56" s="971"/>
      <c r="G56" s="972">
        <f>E34</f>
        <v>54107385.948272914</v>
      </c>
      <c r="H56" s="972"/>
      <c r="I56" s="971"/>
      <c r="J56" s="1026"/>
      <c r="K56" s="1032" t="s">
        <v>315</v>
      </c>
      <c r="L56" s="1068"/>
      <c r="M56" s="1068" t="s">
        <v>13</v>
      </c>
      <c r="N56" s="1044" t="s">
        <v>13</v>
      </c>
      <c r="O56" s="624"/>
      <c r="P56" s="41"/>
      <c r="Q56" s="41"/>
    </row>
    <row r="57" spans="1:17" ht="25.5" customHeight="1" thickBot="1" x14ac:dyDescent="0.3">
      <c r="A57" s="1000"/>
      <c r="B57" s="1045"/>
      <c r="C57" s="970"/>
      <c r="D57" s="971" t="s">
        <v>85</v>
      </c>
      <c r="E57" s="971"/>
      <c r="F57" s="971"/>
      <c r="G57" s="972">
        <f>G34</f>
        <v>394.49135229343926</v>
      </c>
      <c r="H57" s="972"/>
      <c r="I57" s="971"/>
      <c r="J57" s="1107"/>
      <c r="K57" s="1032"/>
      <c r="L57" s="1146"/>
      <c r="M57" s="1068"/>
      <c r="N57" s="1044"/>
      <c r="O57" s="624"/>
    </row>
    <row r="58" spans="1:17" ht="18.75" customHeight="1" thickBot="1" x14ac:dyDescent="0.25">
      <c r="A58" s="1000"/>
      <c r="B58" s="1045"/>
      <c r="C58" s="970"/>
      <c r="D58" s="969" t="s">
        <v>452</v>
      </c>
      <c r="E58" s="969"/>
      <c r="F58" s="969"/>
      <c r="G58" s="969"/>
      <c r="H58" s="969"/>
      <c r="I58" s="969"/>
      <c r="J58" s="991"/>
      <c r="K58" s="969" t="s">
        <v>272</v>
      </c>
      <c r="L58" s="1067" t="s">
        <v>453</v>
      </c>
      <c r="M58" s="1006">
        <v>0.01</v>
      </c>
      <c r="N58" s="1044">
        <f>$D$11*M58</f>
        <v>68493.491499537078</v>
      </c>
      <c r="O58" s="624"/>
    </row>
    <row r="59" spans="1:17" ht="18.75" customHeight="1" thickBot="1" x14ac:dyDescent="0.25">
      <c r="A59" s="1000"/>
      <c r="B59" s="1045"/>
      <c r="C59" s="970"/>
      <c r="D59" s="969"/>
      <c r="E59" s="969"/>
      <c r="F59" s="969"/>
      <c r="G59" s="969"/>
      <c r="H59" s="969"/>
      <c r="I59" s="969"/>
      <c r="J59" s="1018"/>
      <c r="K59" s="969"/>
      <c r="L59" s="977"/>
      <c r="M59" s="1006"/>
      <c r="N59" s="1044"/>
      <c r="O59" s="624"/>
    </row>
    <row r="60" spans="1:17" ht="33.75" customHeight="1" thickBot="1" x14ac:dyDescent="0.25">
      <c r="A60" s="1000"/>
      <c r="B60" s="1045"/>
      <c r="C60" s="970"/>
      <c r="D60" s="969"/>
      <c r="E60" s="969"/>
      <c r="F60" s="969"/>
      <c r="G60" s="969"/>
      <c r="H60" s="969"/>
      <c r="I60" s="969"/>
      <c r="J60" s="1018"/>
      <c r="K60" s="969"/>
      <c r="L60" s="977"/>
      <c r="M60" s="1006"/>
      <c r="N60" s="1044"/>
      <c r="O60" s="624"/>
    </row>
    <row r="61" spans="1:17" ht="18.75" customHeight="1" thickBot="1" x14ac:dyDescent="0.25">
      <c r="A61" s="1000"/>
      <c r="B61" s="1045"/>
      <c r="C61" s="970"/>
      <c r="D61" s="969"/>
      <c r="E61" s="969"/>
      <c r="F61" s="969"/>
      <c r="G61" s="969"/>
      <c r="H61" s="969"/>
      <c r="I61" s="969"/>
      <c r="J61" s="1018"/>
      <c r="K61" s="969"/>
      <c r="L61" s="977"/>
      <c r="M61" s="1006"/>
      <c r="N61" s="1044"/>
      <c r="O61" s="624"/>
    </row>
    <row r="62" spans="1:17" ht="46.5" customHeight="1" thickBot="1" x14ac:dyDescent="0.25">
      <c r="A62" s="1000"/>
      <c r="B62" s="1045"/>
      <c r="C62" s="970"/>
      <c r="D62" s="969"/>
      <c r="E62" s="969"/>
      <c r="F62" s="969"/>
      <c r="G62" s="969"/>
      <c r="H62" s="969"/>
      <c r="I62" s="969"/>
      <c r="J62" s="1102"/>
      <c r="K62" s="969"/>
      <c r="L62" s="978"/>
      <c r="M62" s="1006"/>
      <c r="N62" s="1044"/>
      <c r="O62" s="624"/>
    </row>
    <row r="63" spans="1:17" ht="30.75" customHeight="1" thickBot="1" x14ac:dyDescent="0.3">
      <c r="A63" s="1000"/>
      <c r="B63" s="973" t="s">
        <v>316</v>
      </c>
      <c r="C63" s="970">
        <f>'ES CT Electric Table A  '!N14/1000</f>
        <v>15983.645</v>
      </c>
      <c r="D63" s="971" t="s">
        <v>78</v>
      </c>
      <c r="E63" s="971"/>
      <c r="F63" s="971"/>
      <c r="G63" s="968">
        <f>+E37</f>
        <v>29679066.947092991</v>
      </c>
      <c r="H63" s="968"/>
      <c r="I63" s="971"/>
      <c r="J63" s="1026"/>
      <c r="K63" s="1032" t="s">
        <v>324</v>
      </c>
      <c r="L63" s="971" t="s">
        <v>13</v>
      </c>
      <c r="M63" s="971"/>
      <c r="N63" s="1011"/>
      <c r="O63" s="625"/>
    </row>
    <row r="64" spans="1:17" ht="38.25" customHeight="1" thickBot="1" x14ac:dyDescent="0.3">
      <c r="A64" s="1000"/>
      <c r="B64" s="974"/>
      <c r="C64" s="970"/>
      <c r="D64" s="971" t="s">
        <v>86</v>
      </c>
      <c r="E64" s="971"/>
      <c r="F64" s="971"/>
      <c r="G64" s="968">
        <f>+G37</f>
        <v>339.76944884085049</v>
      </c>
      <c r="H64" s="968"/>
      <c r="I64" s="971"/>
      <c r="J64" s="1107"/>
      <c r="K64" s="1032"/>
      <c r="L64" s="971"/>
      <c r="M64" s="971"/>
      <c r="N64" s="1011"/>
      <c r="O64" s="625"/>
    </row>
    <row r="65" spans="1:15" ht="18.75" customHeight="1" thickBot="1" x14ac:dyDescent="0.25">
      <c r="A65" s="1000"/>
      <c r="B65" s="974"/>
      <c r="C65" s="970"/>
      <c r="D65" s="969" t="s">
        <v>454</v>
      </c>
      <c r="E65" s="969"/>
      <c r="F65" s="969"/>
      <c r="G65" s="969"/>
      <c r="H65" s="969"/>
      <c r="I65" s="969"/>
      <c r="J65" s="991"/>
      <c r="K65" s="969" t="s">
        <v>455</v>
      </c>
      <c r="L65" s="1083" t="s">
        <v>456</v>
      </c>
      <c r="M65" s="1006">
        <v>0.01</v>
      </c>
      <c r="N65" s="1044">
        <f>$D$11*M65</f>
        <v>68493.491499537078</v>
      </c>
      <c r="O65" s="624"/>
    </row>
    <row r="66" spans="1:15" ht="18.75" customHeight="1" thickBot="1" x14ac:dyDescent="0.25">
      <c r="A66" s="1000"/>
      <c r="B66" s="974"/>
      <c r="C66" s="970"/>
      <c r="D66" s="969"/>
      <c r="E66" s="969"/>
      <c r="F66" s="969"/>
      <c r="G66" s="969"/>
      <c r="H66" s="969"/>
      <c r="I66" s="969"/>
      <c r="J66" s="1018"/>
      <c r="K66" s="969"/>
      <c r="L66" s="1083"/>
      <c r="M66" s="1006"/>
      <c r="N66" s="1044"/>
      <c r="O66" s="624"/>
    </row>
    <row r="67" spans="1:15" ht="18.75" customHeight="1" thickBot="1" x14ac:dyDescent="0.25">
      <c r="A67" s="1000"/>
      <c r="B67" s="974"/>
      <c r="C67" s="970"/>
      <c r="D67" s="969"/>
      <c r="E67" s="969"/>
      <c r="F67" s="969"/>
      <c r="G67" s="969"/>
      <c r="H67" s="969"/>
      <c r="I67" s="969"/>
      <c r="J67" s="1018"/>
      <c r="K67" s="969"/>
      <c r="L67" s="1083"/>
      <c r="M67" s="1006"/>
      <c r="N67" s="1044"/>
      <c r="O67" s="624"/>
    </row>
    <row r="68" spans="1:15" ht="57.75" customHeight="1" thickBot="1" x14ac:dyDescent="0.25">
      <c r="A68" s="1000"/>
      <c r="B68" s="974"/>
      <c r="C68" s="970"/>
      <c r="D68" s="969"/>
      <c r="E68" s="969"/>
      <c r="F68" s="969"/>
      <c r="G68" s="969"/>
      <c r="H68" s="969"/>
      <c r="I68" s="969"/>
      <c r="J68" s="1102"/>
      <c r="K68" s="969"/>
      <c r="L68" s="1083"/>
      <c r="M68" s="1006"/>
      <c r="N68" s="1044"/>
      <c r="O68" s="624"/>
    </row>
    <row r="69" spans="1:15" ht="132" customHeight="1" thickBot="1" x14ac:dyDescent="0.25">
      <c r="A69" s="1000"/>
      <c r="B69" s="974"/>
      <c r="C69" s="970"/>
      <c r="D69" s="1001" t="s">
        <v>457</v>
      </c>
      <c r="E69" s="1142"/>
      <c r="F69" s="1142"/>
      <c r="G69" s="1142"/>
      <c r="H69" s="1142"/>
      <c r="I69" s="1143"/>
      <c r="J69" s="642"/>
      <c r="K69" s="642" t="s">
        <v>458</v>
      </c>
      <c r="L69" s="650" t="s">
        <v>461</v>
      </c>
      <c r="M69" s="643">
        <v>0.01</v>
      </c>
      <c r="N69" s="644">
        <f>$D$11*M69</f>
        <v>68493.491499537078</v>
      </c>
      <c r="O69" s="624"/>
    </row>
    <row r="70" spans="1:15" ht="73.5" customHeight="1" thickBot="1" x14ac:dyDescent="0.3">
      <c r="A70" s="1000"/>
      <c r="B70" s="974"/>
      <c r="C70" s="970"/>
      <c r="D70" s="969" t="s">
        <v>536</v>
      </c>
      <c r="E70" s="969"/>
      <c r="F70" s="969"/>
      <c r="G70" s="969"/>
      <c r="H70" s="969"/>
      <c r="I70" s="969"/>
      <c r="J70" s="991"/>
      <c r="K70" s="969" t="s">
        <v>460</v>
      </c>
      <c r="L70" s="973" t="s">
        <v>530</v>
      </c>
      <c r="M70" s="1019">
        <v>0.01</v>
      </c>
      <c r="N70" s="1144">
        <f>$D$11*M70</f>
        <v>68493.491499537078</v>
      </c>
      <c r="O70" s="625"/>
    </row>
    <row r="71" spans="1:15" ht="28.5" customHeight="1" thickBot="1" x14ac:dyDescent="0.3">
      <c r="A71" s="1000"/>
      <c r="B71" s="974"/>
      <c r="C71" s="970"/>
      <c r="D71" s="969"/>
      <c r="E71" s="969"/>
      <c r="F71" s="969"/>
      <c r="G71" s="969"/>
      <c r="H71" s="969"/>
      <c r="I71" s="969"/>
      <c r="J71" s="1102"/>
      <c r="K71" s="969"/>
      <c r="L71" s="973"/>
      <c r="M71" s="1021"/>
      <c r="N71" s="1145"/>
      <c r="O71" s="625"/>
    </row>
    <row r="72" spans="1:15" ht="19.5" customHeight="1" thickBot="1" x14ac:dyDescent="0.25">
      <c r="A72" s="1000"/>
      <c r="B72" s="1077" t="s">
        <v>340</v>
      </c>
      <c r="C72" s="980"/>
      <c r="D72" s="969" t="s">
        <v>484</v>
      </c>
      <c r="E72" s="969"/>
      <c r="F72" s="969"/>
      <c r="G72" s="969"/>
      <c r="H72" s="969"/>
      <c r="I72" s="969"/>
      <c r="J72" s="1147" t="s">
        <v>13</v>
      </c>
      <c r="K72" s="969" t="s">
        <v>480</v>
      </c>
      <c r="L72" s="1032"/>
      <c r="M72" s="1006">
        <v>0.02</v>
      </c>
      <c r="N72" s="1044">
        <f>$D$11*M72</f>
        <v>136986.98299907416</v>
      </c>
      <c r="O72" s="624"/>
    </row>
    <row r="73" spans="1:15" ht="19.5" customHeight="1" thickBot="1" x14ac:dyDescent="0.25">
      <c r="A73" s="1000"/>
      <c r="B73" s="1077"/>
      <c r="C73" s="980"/>
      <c r="D73" s="969"/>
      <c r="E73" s="969"/>
      <c r="F73" s="969"/>
      <c r="G73" s="969"/>
      <c r="H73" s="969"/>
      <c r="I73" s="969"/>
      <c r="J73" s="1115"/>
      <c r="K73" s="969"/>
      <c r="L73" s="1032"/>
      <c r="M73" s="1006"/>
      <c r="N73" s="1044"/>
      <c r="O73" s="624"/>
    </row>
    <row r="74" spans="1:15" ht="14.25" customHeight="1" thickBot="1" x14ac:dyDescent="0.25">
      <c r="A74" s="1000"/>
      <c r="B74" s="1077"/>
      <c r="C74" s="980"/>
      <c r="D74" s="969"/>
      <c r="E74" s="969"/>
      <c r="F74" s="969"/>
      <c r="G74" s="969"/>
      <c r="H74" s="969"/>
      <c r="I74" s="969"/>
      <c r="J74" s="1115"/>
      <c r="K74" s="969"/>
      <c r="L74" s="1032"/>
      <c r="M74" s="1006"/>
      <c r="N74" s="1044"/>
      <c r="O74" s="624"/>
    </row>
    <row r="75" spans="1:15" ht="40.5" customHeight="1" thickBot="1" x14ac:dyDescent="0.25">
      <c r="A75" s="1000"/>
      <c r="B75" s="1078"/>
      <c r="C75" s="981"/>
      <c r="D75" s="969"/>
      <c r="E75" s="969"/>
      <c r="F75" s="969"/>
      <c r="G75" s="969"/>
      <c r="H75" s="969"/>
      <c r="I75" s="969"/>
      <c r="J75" s="1116"/>
      <c r="K75" s="969"/>
      <c r="L75" s="1032"/>
      <c r="M75" s="1006"/>
      <c r="N75" s="1044"/>
      <c r="O75" s="624"/>
    </row>
    <row r="76" spans="1:15" ht="25.5" customHeight="1" thickBot="1" x14ac:dyDescent="0.3">
      <c r="A76" s="1000"/>
      <c r="B76" s="1076" t="s">
        <v>96</v>
      </c>
      <c r="C76" s="979">
        <f>'ES CT Electric Table A  '!N10/1000</f>
        <v>3558</v>
      </c>
      <c r="D76" s="971" t="s">
        <v>78</v>
      </c>
      <c r="E76" s="971"/>
      <c r="F76" s="971"/>
      <c r="G76" s="968">
        <f>+E33</f>
        <v>60395174.542057157</v>
      </c>
      <c r="H76" s="968"/>
      <c r="I76" s="971"/>
      <c r="J76" s="1026"/>
      <c r="K76" s="969" t="s">
        <v>324</v>
      </c>
      <c r="L76" s="1032" t="s">
        <v>13</v>
      </c>
      <c r="M76" s="1006" t="s">
        <v>13</v>
      </c>
      <c r="N76" s="1044" t="s">
        <v>13</v>
      </c>
      <c r="O76" s="624"/>
    </row>
    <row r="77" spans="1:15" ht="27.75" customHeight="1" thickBot="1" x14ac:dyDescent="0.3">
      <c r="A77" s="1000"/>
      <c r="B77" s="1077"/>
      <c r="C77" s="980"/>
      <c r="D77" s="971" t="s">
        <v>86</v>
      </c>
      <c r="E77" s="971"/>
      <c r="F77" s="971"/>
      <c r="G77" s="968">
        <f>+G33</f>
        <v>788.91533982283033</v>
      </c>
      <c r="H77" s="968"/>
      <c r="I77" s="971"/>
      <c r="J77" s="1117"/>
      <c r="K77" s="969"/>
      <c r="L77" s="1032"/>
      <c r="M77" s="1006"/>
      <c r="N77" s="1044"/>
      <c r="O77" s="624"/>
    </row>
    <row r="78" spans="1:15" ht="19.5" customHeight="1" thickBot="1" x14ac:dyDescent="0.25">
      <c r="A78" s="1000"/>
      <c r="B78" s="1077"/>
      <c r="C78" s="980"/>
      <c r="D78" s="971" t="s">
        <v>13</v>
      </c>
      <c r="E78" s="971"/>
      <c r="F78" s="971"/>
      <c r="G78" s="971"/>
      <c r="H78" s="971"/>
      <c r="I78" s="971"/>
      <c r="J78" s="1117"/>
      <c r="K78" s="969"/>
      <c r="L78" s="1032"/>
      <c r="M78" s="1006"/>
      <c r="N78" s="1044"/>
      <c r="O78" s="624"/>
    </row>
    <row r="79" spans="1:15" ht="19.5" customHeight="1" thickBot="1" x14ac:dyDescent="0.25">
      <c r="A79" s="1000"/>
      <c r="B79" s="1077"/>
      <c r="C79" s="980"/>
      <c r="D79" s="971"/>
      <c r="E79" s="971"/>
      <c r="F79" s="971"/>
      <c r="G79" s="971"/>
      <c r="H79" s="971"/>
      <c r="I79" s="971"/>
      <c r="J79" s="1117"/>
      <c r="K79" s="969"/>
      <c r="L79" s="1032"/>
      <c r="M79" s="1006"/>
      <c r="N79" s="1044"/>
      <c r="O79" s="624"/>
    </row>
    <row r="80" spans="1:15" ht="14.25" customHeight="1" thickBot="1" x14ac:dyDescent="0.25">
      <c r="A80" s="1000"/>
      <c r="B80" s="1077"/>
      <c r="C80" s="980"/>
      <c r="D80" s="971"/>
      <c r="E80" s="971"/>
      <c r="F80" s="971"/>
      <c r="G80" s="971"/>
      <c r="H80" s="971"/>
      <c r="I80" s="971"/>
      <c r="J80" s="1117"/>
      <c r="K80" s="969"/>
      <c r="L80" s="1032"/>
      <c r="M80" s="1006"/>
      <c r="N80" s="1044"/>
      <c r="O80" s="624"/>
    </row>
    <row r="81" spans="1:20" ht="9" customHeight="1" thickBot="1" x14ac:dyDescent="0.25">
      <c r="A81" s="1000"/>
      <c r="B81" s="1078"/>
      <c r="C81" s="981"/>
      <c r="D81" s="971"/>
      <c r="E81" s="971"/>
      <c r="F81" s="971"/>
      <c r="G81" s="971"/>
      <c r="H81" s="971"/>
      <c r="I81" s="971"/>
      <c r="J81" s="1107"/>
      <c r="K81" s="969"/>
      <c r="L81" s="1032"/>
      <c r="M81" s="1006"/>
      <c r="N81" s="1044"/>
      <c r="O81" s="624"/>
    </row>
    <row r="82" spans="1:20" ht="36.75" customHeight="1" thickBot="1" x14ac:dyDescent="0.25">
      <c r="A82" s="1000"/>
      <c r="B82" s="975" t="s">
        <v>79</v>
      </c>
      <c r="C82" s="975"/>
      <c r="D82" s="967" t="s">
        <v>71</v>
      </c>
      <c r="E82" s="967" t="s">
        <v>72</v>
      </c>
      <c r="F82" s="967"/>
      <c r="G82" s="967" t="s">
        <v>73</v>
      </c>
      <c r="H82" s="967"/>
      <c r="I82" s="999" t="s">
        <v>430</v>
      </c>
      <c r="J82" s="999" t="s">
        <v>432</v>
      </c>
      <c r="K82" s="1033"/>
      <c r="L82" s="1033"/>
      <c r="M82" s="1033"/>
      <c r="N82" s="1084"/>
      <c r="O82" s="621"/>
    </row>
    <row r="83" spans="1:20" ht="19.5" customHeight="1" thickBot="1" x14ac:dyDescent="0.25">
      <c r="A83" s="1000"/>
      <c r="B83" s="975"/>
      <c r="C83" s="975"/>
      <c r="D83" s="967"/>
      <c r="E83" s="967"/>
      <c r="F83" s="967"/>
      <c r="G83" s="967"/>
      <c r="H83" s="967"/>
      <c r="I83" s="999"/>
      <c r="J83" s="999"/>
      <c r="K83" s="1033"/>
      <c r="L83" s="1033"/>
      <c r="M83" s="1033"/>
      <c r="N83" s="1084"/>
      <c r="O83" s="621"/>
    </row>
    <row r="84" spans="1:20" ht="39.75" customHeight="1" thickBot="1" x14ac:dyDescent="0.3">
      <c r="A84" s="1000"/>
      <c r="B84" s="973" t="s">
        <v>102</v>
      </c>
      <c r="C84" s="970">
        <f>'ES CT Electric Table A  '!N22/1000</f>
        <v>59242.601678755433</v>
      </c>
      <c r="D84" s="451" t="s">
        <v>106</v>
      </c>
      <c r="E84" s="997">
        <f>'2014-24 ESCTETable D3-lftimekWh'!O16*1000</f>
        <v>239121255.42095175</v>
      </c>
      <c r="F84" s="997"/>
      <c r="G84" s="997">
        <f>'2014-24 ES CT E Table D1-kW'!O16</f>
        <v>3904.1674959900247</v>
      </c>
      <c r="H84" s="997"/>
      <c r="I84" s="673">
        <f>'[18]Eversource Elect_Table_B'!U42</f>
        <v>33846.086266953891</v>
      </c>
      <c r="J84" s="673">
        <f>'[18]Eversource Elect_Table_B'!W42</f>
        <v>42609.129400430837</v>
      </c>
      <c r="K84" s="1014" t="s">
        <v>475</v>
      </c>
      <c r="L84" s="1014" t="s">
        <v>476</v>
      </c>
      <c r="M84" s="1025">
        <v>0.17449999999999999</v>
      </c>
      <c r="N84" s="1012">
        <f>$D$11*M84</f>
        <v>1195211.4266669219</v>
      </c>
      <c r="O84" s="626"/>
    </row>
    <row r="85" spans="1:20" ht="44.25" customHeight="1" thickBot="1" x14ac:dyDescent="0.3">
      <c r="A85" s="1000"/>
      <c r="B85" s="973"/>
      <c r="C85" s="970"/>
      <c r="D85" s="451" t="s">
        <v>97</v>
      </c>
      <c r="E85" s="997">
        <f>'2014-24 ESCTETable D3-lftimekWh'!O17*1000</f>
        <v>400200165.46696281</v>
      </c>
      <c r="F85" s="997"/>
      <c r="G85" s="997">
        <f>'2014-24 ES CT E Table D1-kW'!O17</f>
        <v>9435.8255262770635</v>
      </c>
      <c r="H85" s="997"/>
      <c r="I85" s="673">
        <f>'[18]Eversource Elect_Table_B'!U43</f>
        <v>24336</v>
      </c>
      <c r="J85" s="673">
        <f>'[18]Eversource Elect_Table_B'!W43</f>
        <v>16224.000000000002</v>
      </c>
      <c r="K85" s="1014"/>
      <c r="L85" s="1014"/>
      <c r="M85" s="1025"/>
      <c r="N85" s="1012"/>
      <c r="O85" s="626"/>
    </row>
    <row r="86" spans="1:20" ht="60.75" customHeight="1" thickBot="1" x14ac:dyDescent="0.3">
      <c r="A86" s="1000"/>
      <c r="B86" s="973"/>
      <c r="C86" s="970"/>
      <c r="D86" s="451" t="s">
        <v>217</v>
      </c>
      <c r="E86" s="997">
        <f>'2014-24 ESCTETable D3-lftimekWh'!O18*1000</f>
        <v>63275484.824626692</v>
      </c>
      <c r="F86" s="997"/>
      <c r="G86" s="997">
        <f>'2014-24 ES CT E Table D1-kW'!O18</f>
        <v>1522.5475764075486</v>
      </c>
      <c r="H86" s="997"/>
      <c r="I86" s="673">
        <f>'[18]Eversource Elect_Table_B'!U44</f>
        <v>10057.623806227557</v>
      </c>
      <c r="J86" s="673">
        <f>'[18]Eversource Elect_Table_B'!W44</f>
        <v>6034.5742837365351</v>
      </c>
      <c r="K86" s="1014"/>
      <c r="L86" s="1004">
        <f>E91+G91+I91+J91</f>
        <v>152236074.964802</v>
      </c>
      <c r="M86" s="1025"/>
      <c r="N86" s="1012"/>
      <c r="O86" s="626"/>
    </row>
    <row r="87" spans="1:20" ht="42.75" customHeight="1" thickBot="1" x14ac:dyDescent="0.3">
      <c r="A87" s="1000"/>
      <c r="B87" s="973"/>
      <c r="C87" s="970"/>
      <c r="D87" s="451" t="s">
        <v>80</v>
      </c>
      <c r="E87" s="997">
        <f>'2014-24 ESCTETable D3-lftimekWh'!O19*1000</f>
        <v>156714689.80461913</v>
      </c>
      <c r="F87" s="997"/>
      <c r="G87" s="997">
        <f>'2014-24 ES CT E Table D1-kW'!O19</f>
        <v>4036.2681052938592</v>
      </c>
      <c r="H87" s="997"/>
      <c r="I87" s="673">
        <f>'[18]Eversource Elect_Table_B'!U45</f>
        <v>14255.999999999998</v>
      </c>
      <c r="J87" s="673">
        <f>'[18]Eversource Elect_Table_B'!W45</f>
        <v>13141.635826125043</v>
      </c>
      <c r="K87" s="1014"/>
      <c r="L87" s="1004"/>
      <c r="M87" s="1025"/>
      <c r="N87" s="1012"/>
      <c r="O87" s="626"/>
    </row>
    <row r="88" spans="1:20" ht="18.75" customHeight="1" thickBot="1" x14ac:dyDescent="0.3">
      <c r="A88" s="1000"/>
      <c r="B88" s="973"/>
      <c r="C88" s="970"/>
      <c r="D88" s="451" t="s">
        <v>76</v>
      </c>
      <c r="E88" s="998">
        <f>ROUND(SUM(E84:E87),0)</f>
        <v>859311596</v>
      </c>
      <c r="F88" s="998"/>
      <c r="G88" s="998">
        <f>ROUND(SUM(G84:G87),0)</f>
        <v>18899</v>
      </c>
      <c r="H88" s="998"/>
      <c r="I88" s="674">
        <f>SUM(I84:I87)</f>
        <v>82495.710073181443</v>
      </c>
      <c r="J88" s="674">
        <f>SUM(J84:J87)</f>
        <v>78009.339510292411</v>
      </c>
      <c r="K88" s="1014"/>
      <c r="L88" s="1004"/>
      <c r="M88" s="1025"/>
      <c r="N88" s="1012"/>
      <c r="O88" s="626"/>
    </row>
    <row r="89" spans="1:20" ht="18.75" customHeight="1" thickBot="1" x14ac:dyDescent="0.25">
      <c r="A89" s="1000"/>
      <c r="B89" s="973"/>
      <c r="C89" s="970"/>
      <c r="D89" s="969"/>
      <c r="E89" s="969"/>
      <c r="F89" s="969"/>
      <c r="G89" s="969"/>
      <c r="H89" s="969"/>
      <c r="I89" s="969"/>
      <c r="J89" s="642"/>
      <c r="K89" s="1014"/>
      <c r="L89" s="1004"/>
      <c r="M89" s="1025"/>
      <c r="N89" s="1012"/>
      <c r="O89" s="626"/>
    </row>
    <row r="90" spans="1:20" ht="36.75" customHeight="1" thickBot="1" x14ac:dyDescent="0.3">
      <c r="A90" s="1000"/>
      <c r="B90" s="973"/>
      <c r="C90" s="970"/>
      <c r="D90" s="451" t="s">
        <v>77</v>
      </c>
      <c r="E90" s="691">
        <f>E91/E88</f>
        <v>0.13460392049161787</v>
      </c>
      <c r="F90" s="679" t="s">
        <v>4</v>
      </c>
      <c r="G90" s="679">
        <f>G91/G88</f>
        <v>1907.7089818994202</v>
      </c>
      <c r="H90" s="642" t="s">
        <v>5</v>
      </c>
      <c r="I90" s="694">
        <f>I91/I88</f>
        <v>2.9569193716658231</v>
      </c>
      <c r="J90" s="694">
        <f>J91/J88</f>
        <v>3.4821472516768086</v>
      </c>
      <c r="K90" s="1014"/>
      <c r="L90" s="1004"/>
      <c r="M90" s="1025"/>
      <c r="N90" s="1012"/>
      <c r="O90" s="626"/>
    </row>
    <row r="91" spans="1:20" ht="26.25" customHeight="1" thickBot="1" x14ac:dyDescent="0.3">
      <c r="A91" s="1000"/>
      <c r="B91" s="973"/>
      <c r="C91" s="970"/>
      <c r="D91" s="452" t="s">
        <v>216</v>
      </c>
      <c r="E91" s="679">
        <f>'[18]Eversource Elect_Table_B'!$BQ$46</f>
        <v>115666709.74550925</v>
      </c>
      <c r="F91" s="650"/>
      <c r="G91" s="679">
        <f>'[18]Eversource Elect_Table_B'!$BY$46</f>
        <v>36053792.048917145</v>
      </c>
      <c r="H91" s="642"/>
      <c r="I91" s="695">
        <f>'[18]Eversource Elect_Table_B'!$CC$46</f>
        <v>243933.16319471758</v>
      </c>
      <c r="J91" s="695">
        <f>'[18]Eversource Elect_Table_B'!$CD$46</f>
        <v>271640.0071808878</v>
      </c>
      <c r="K91" s="1014"/>
      <c r="L91" s="1004"/>
      <c r="M91" s="1025"/>
      <c r="N91" s="1012"/>
      <c r="O91" s="626"/>
      <c r="Q91" s="151">
        <f>SUM(M31:M80)</f>
        <v>0.51880000000000004</v>
      </c>
      <c r="R91" t="s">
        <v>103</v>
      </c>
      <c r="T91" s="37">
        <f>SUM(N31:N80)</f>
        <v>3553442.3389959838</v>
      </c>
    </row>
    <row r="92" spans="1:20" ht="24" customHeight="1" thickBot="1" x14ac:dyDescent="0.3">
      <c r="A92" s="1000"/>
      <c r="B92" s="973"/>
      <c r="C92" s="970"/>
      <c r="D92" s="1029" t="s">
        <v>81</v>
      </c>
      <c r="E92" s="1030"/>
      <c r="F92" s="1030"/>
      <c r="G92" s="1030"/>
      <c r="H92" s="1031"/>
      <c r="I92" s="662"/>
      <c r="J92" s="662"/>
      <c r="K92" s="1014"/>
      <c r="L92" s="1004"/>
      <c r="M92" s="1025"/>
      <c r="N92" s="1012"/>
      <c r="O92" s="626"/>
      <c r="Q92">
        <f>SUM(M82:M121)</f>
        <v>0.47119999999999995</v>
      </c>
      <c r="R92" t="s">
        <v>104</v>
      </c>
      <c r="T92" s="37">
        <f>SUM(N84:N121)</f>
        <v>3227413.3194581866</v>
      </c>
    </row>
    <row r="93" spans="1:20" ht="50.25" customHeight="1" thickBot="1" x14ac:dyDescent="0.25">
      <c r="A93" s="1000"/>
      <c r="B93" s="645" t="s">
        <v>477</v>
      </c>
      <c r="C93" s="675"/>
      <c r="D93" s="998" t="s">
        <v>543</v>
      </c>
      <c r="E93" s="998"/>
      <c r="F93" s="998"/>
      <c r="G93" s="998"/>
      <c r="H93" s="998"/>
      <c r="I93" s="581">
        <f>L86-C84*1000</f>
        <v>92993473.286046565</v>
      </c>
      <c r="J93" s="581"/>
      <c r="K93" s="645"/>
      <c r="L93" s="666">
        <f>I93</f>
        <v>92993473.286046565</v>
      </c>
      <c r="M93" s="669">
        <v>0.17449999999999999</v>
      </c>
      <c r="N93" s="666">
        <f>$D$11*M93</f>
        <v>1195211.4266669219</v>
      </c>
      <c r="O93" s="627"/>
      <c r="Q93" s="543">
        <f>M122</f>
        <v>0.01</v>
      </c>
      <c r="R93" s="41" t="s">
        <v>370</v>
      </c>
      <c r="T93" s="37">
        <f>N122</f>
        <v>68493.491499537078</v>
      </c>
    </row>
    <row r="94" spans="1:20" ht="45" customHeight="1" thickBot="1" x14ac:dyDescent="0.25">
      <c r="A94" s="1000"/>
      <c r="B94" s="976" t="s">
        <v>462</v>
      </c>
      <c r="C94" s="637">
        <f>'ES CT Electric Table A  '!N25/1000</f>
        <v>4380.59</v>
      </c>
      <c r="D94" s="681" t="s">
        <v>463</v>
      </c>
      <c r="E94" s="681"/>
      <c r="F94" s="681"/>
      <c r="G94" s="681">
        <f>'[18]Eversource Elect_Table_B'!$O$49</f>
        <v>80630.000000000015</v>
      </c>
      <c r="H94" s="693" t="s">
        <v>73</v>
      </c>
      <c r="I94" s="651"/>
      <c r="J94" s="651"/>
      <c r="K94" s="659"/>
      <c r="L94" s="646"/>
      <c r="M94" s="445"/>
      <c r="N94" s="646"/>
      <c r="O94" s="623"/>
      <c r="P94" s="41"/>
      <c r="Q94" s="639">
        <f>SUM(Q91:Q93)</f>
        <v>1</v>
      </c>
      <c r="R94" t="s">
        <v>105</v>
      </c>
      <c r="T94" s="37">
        <f>SUM(T91:T93)</f>
        <v>6849349.1499537071</v>
      </c>
    </row>
    <row r="95" spans="1:20" ht="52.5" customHeight="1" thickBot="1" x14ac:dyDescent="0.25">
      <c r="A95" s="1000"/>
      <c r="B95" s="978"/>
      <c r="C95" s="442"/>
      <c r="D95" s="681" t="s">
        <v>464</v>
      </c>
      <c r="E95" s="687">
        <f>'[18]Eversource Elect_Table_B'!$E$49*1000</f>
        <v>11801486.965092108</v>
      </c>
      <c r="F95" s="681" t="s">
        <v>465</v>
      </c>
      <c r="G95" s="692">
        <f>E95/G94</f>
        <v>146.36595516671346</v>
      </c>
      <c r="H95" s="693" t="s">
        <v>438</v>
      </c>
      <c r="I95" s="651"/>
      <c r="J95" s="651"/>
      <c r="K95" s="670" t="s">
        <v>466</v>
      </c>
      <c r="L95" s="678">
        <f>E95</f>
        <v>11801486.965092108</v>
      </c>
      <c r="M95" s="445">
        <v>1.11E-2</v>
      </c>
      <c r="N95" s="646">
        <f>$D$11*M95</f>
        <v>76027.775564486161</v>
      </c>
      <c r="O95" s="623"/>
      <c r="P95" s="41"/>
      <c r="Q95" s="41"/>
      <c r="T95" s="37">
        <f>N123</f>
        <v>6849349.1499537099</v>
      </c>
    </row>
    <row r="96" spans="1:20" ht="52.5" customHeight="1" thickBot="1" x14ac:dyDescent="0.25">
      <c r="A96" s="1000"/>
      <c r="B96" s="653" t="s">
        <v>479</v>
      </c>
      <c r="C96" s="442"/>
      <c r="D96" s="1140" t="s">
        <v>469</v>
      </c>
      <c r="E96" s="1141"/>
      <c r="F96" s="1141"/>
      <c r="G96" s="1141"/>
      <c r="H96" s="688"/>
      <c r="I96" s="697">
        <f>E95-C94*1000</f>
        <v>7420896.9650921077</v>
      </c>
      <c r="J96" s="651"/>
      <c r="K96" s="670" t="s">
        <v>470</v>
      </c>
      <c r="L96" s="678">
        <f>L95-C94*1000</f>
        <v>7420896.9650921077</v>
      </c>
      <c r="M96" s="445">
        <v>1.11E-2</v>
      </c>
      <c r="N96" s="646">
        <f>$D$11*M96</f>
        <v>76027.775564486161</v>
      </c>
      <c r="O96" s="623"/>
      <c r="P96" s="41"/>
      <c r="Q96" s="41"/>
      <c r="T96" s="37"/>
    </row>
    <row r="97" spans="1:20" ht="57.75" customHeight="1" thickBot="1" x14ac:dyDescent="0.25">
      <c r="A97" s="1000"/>
      <c r="B97" s="973" t="s">
        <v>546</v>
      </c>
      <c r="C97" s="970">
        <f>'ES CT Electric Table A  '!N19/1000</f>
        <v>32903.8876236656</v>
      </c>
      <c r="D97" s="969" t="s">
        <v>552</v>
      </c>
      <c r="E97" s="969"/>
      <c r="F97" s="969"/>
      <c r="G97" s="969"/>
      <c r="H97" s="969"/>
      <c r="I97" s="969"/>
      <c r="J97" s="991" t="s">
        <v>13</v>
      </c>
      <c r="K97" s="969" t="s">
        <v>322</v>
      </c>
      <c r="L97" s="1005" t="s">
        <v>467</v>
      </c>
      <c r="M97" s="1013">
        <v>2.5000000000000001E-2</v>
      </c>
      <c r="N97" s="1004">
        <f>$D$11*M97</f>
        <v>171233.72874884272</v>
      </c>
      <c r="O97" s="627"/>
      <c r="Q97" s="151"/>
      <c r="T97" s="37">
        <f>T95-T94</f>
        <v>0</v>
      </c>
    </row>
    <row r="98" spans="1:20" ht="14.25" customHeight="1" thickBot="1" x14ac:dyDescent="0.25">
      <c r="A98" s="1000"/>
      <c r="B98" s="974"/>
      <c r="C98" s="970"/>
      <c r="D98" s="969"/>
      <c r="E98" s="969"/>
      <c r="F98" s="969"/>
      <c r="G98" s="969"/>
      <c r="H98" s="969"/>
      <c r="I98" s="969"/>
      <c r="J98" s="1121"/>
      <c r="K98" s="969"/>
      <c r="L98" s="1005"/>
      <c r="M98" s="1013"/>
      <c r="N98" s="1004"/>
      <c r="O98" s="627"/>
      <c r="T98" s="37" t="s">
        <v>13</v>
      </c>
    </row>
    <row r="99" spans="1:20" ht="93" customHeight="1" thickBot="1" x14ac:dyDescent="0.25">
      <c r="A99" s="1000"/>
      <c r="B99" s="974"/>
      <c r="C99" s="970"/>
      <c r="D99" s="969"/>
      <c r="E99" s="969"/>
      <c r="F99" s="969"/>
      <c r="G99" s="969"/>
      <c r="H99" s="969"/>
      <c r="I99" s="969"/>
      <c r="J99" s="1121"/>
      <c r="K99" s="969"/>
      <c r="L99" s="1005"/>
      <c r="M99" s="1013"/>
      <c r="N99" s="1004"/>
      <c r="O99" s="627"/>
    </row>
    <row r="100" spans="1:20" ht="38.25" customHeight="1" thickBot="1" x14ac:dyDescent="0.25">
      <c r="A100" s="1000"/>
      <c r="B100" s="974"/>
      <c r="C100" s="970"/>
      <c r="D100" s="969"/>
      <c r="E100" s="969"/>
      <c r="F100" s="969"/>
      <c r="G100" s="969"/>
      <c r="H100" s="969"/>
      <c r="I100" s="969"/>
      <c r="J100" s="1121"/>
      <c r="K100" s="969"/>
      <c r="L100" s="1005"/>
      <c r="M100" s="1013"/>
      <c r="N100" s="1004"/>
      <c r="O100" s="627"/>
    </row>
    <row r="101" spans="1:20" ht="18.75" customHeight="1" thickBot="1" x14ac:dyDescent="0.25">
      <c r="A101" s="1000"/>
      <c r="B101" s="974"/>
      <c r="C101" s="970"/>
      <c r="D101" s="969"/>
      <c r="E101" s="969"/>
      <c r="F101" s="969"/>
      <c r="G101" s="969"/>
      <c r="H101" s="969"/>
      <c r="I101" s="969"/>
      <c r="J101" s="1122"/>
      <c r="K101" s="969"/>
      <c r="L101" s="1005"/>
      <c r="M101" s="1013"/>
      <c r="N101" s="1004"/>
      <c r="O101" s="627"/>
    </row>
    <row r="102" spans="1:20" ht="18.75" customHeight="1" thickBot="1" x14ac:dyDescent="0.25">
      <c r="A102" s="1000"/>
      <c r="B102" s="973" t="s">
        <v>547</v>
      </c>
      <c r="C102" s="970">
        <f>'ES CT Electric Table A  '!N18/1000</f>
        <v>11494.3494752517</v>
      </c>
      <c r="D102" s="1015" t="s">
        <v>548</v>
      </c>
      <c r="E102" s="1015"/>
      <c r="F102" s="1015"/>
      <c r="G102" s="1015"/>
      <c r="H102" s="1015"/>
      <c r="I102" s="1015"/>
      <c r="J102" s="1148"/>
      <c r="K102" s="969" t="s">
        <v>549</v>
      </c>
      <c r="L102" s="1005" t="s">
        <v>550</v>
      </c>
      <c r="M102" s="1013">
        <v>0.02</v>
      </c>
      <c r="N102" s="1004">
        <f>$D$11*M102</f>
        <v>136986.98299907416</v>
      </c>
      <c r="O102" s="627"/>
    </row>
    <row r="103" spans="1:20" ht="12" customHeight="1" thickBot="1" x14ac:dyDescent="0.25">
      <c r="A103" s="1000"/>
      <c r="B103" s="973"/>
      <c r="C103" s="970"/>
      <c r="D103" s="1015"/>
      <c r="E103" s="1015"/>
      <c r="F103" s="1015"/>
      <c r="G103" s="1015"/>
      <c r="H103" s="1015"/>
      <c r="I103" s="1015"/>
      <c r="J103" s="1018"/>
      <c r="K103" s="969"/>
      <c r="L103" s="1005"/>
      <c r="M103" s="1013"/>
      <c r="N103" s="1004"/>
      <c r="O103" s="627"/>
    </row>
    <row r="104" spans="1:20" ht="21" customHeight="1" thickBot="1" x14ac:dyDescent="0.25">
      <c r="A104" s="1000"/>
      <c r="B104" s="973"/>
      <c r="C104" s="970"/>
      <c r="D104" s="1015"/>
      <c r="E104" s="1015"/>
      <c r="F104" s="1015"/>
      <c r="G104" s="1015"/>
      <c r="H104" s="1015"/>
      <c r="I104" s="1015"/>
      <c r="J104" s="1018"/>
      <c r="K104" s="969"/>
      <c r="L104" s="1005"/>
      <c r="M104" s="1013"/>
      <c r="N104" s="1004"/>
      <c r="O104" s="627"/>
    </row>
    <row r="105" spans="1:20" ht="84" customHeight="1" thickBot="1" x14ac:dyDescent="0.25">
      <c r="A105" s="1000"/>
      <c r="B105" s="973"/>
      <c r="C105" s="970"/>
      <c r="D105" s="1015"/>
      <c r="E105" s="1015"/>
      <c r="F105" s="1015"/>
      <c r="G105" s="1015"/>
      <c r="H105" s="1015"/>
      <c r="I105" s="1015"/>
      <c r="J105" s="1018"/>
      <c r="K105" s="969"/>
      <c r="L105" s="1005"/>
      <c r="M105" s="1013"/>
      <c r="N105" s="1004"/>
      <c r="O105" s="627"/>
    </row>
    <row r="106" spans="1:20" ht="21" customHeight="1" thickBot="1" x14ac:dyDescent="0.25">
      <c r="A106" s="1000"/>
      <c r="B106" s="973"/>
      <c r="C106" s="970"/>
      <c r="D106" s="1015"/>
      <c r="E106" s="1015"/>
      <c r="F106" s="1015"/>
      <c r="G106" s="1015"/>
      <c r="H106" s="1015"/>
      <c r="I106" s="1015"/>
      <c r="J106" s="1018"/>
      <c r="K106" s="969"/>
      <c r="L106" s="1005"/>
      <c r="M106" s="1013"/>
      <c r="N106" s="1004"/>
      <c r="O106" s="627"/>
    </row>
    <row r="107" spans="1:20" ht="6" customHeight="1" thickBot="1" x14ac:dyDescent="0.25">
      <c r="A107" s="1000"/>
      <c r="B107" s="973"/>
      <c r="C107" s="970"/>
      <c r="D107" s="1015"/>
      <c r="E107" s="1015"/>
      <c r="F107" s="1015"/>
      <c r="G107" s="1015"/>
      <c r="H107" s="1015"/>
      <c r="I107" s="1015"/>
      <c r="J107" s="1102"/>
      <c r="K107" s="969"/>
      <c r="L107" s="1005"/>
      <c r="M107" s="1013"/>
      <c r="N107" s="1004"/>
      <c r="O107" s="627"/>
    </row>
    <row r="108" spans="1:20" ht="38.25" customHeight="1" thickBot="1" x14ac:dyDescent="0.3">
      <c r="A108" s="1000"/>
      <c r="B108" s="974" t="s">
        <v>80</v>
      </c>
      <c r="C108" s="970">
        <f>'ES CT Electric Table A  '!N21/1000</f>
        <v>11843.2098385636</v>
      </c>
      <c r="D108" s="971" t="s">
        <v>0</v>
      </c>
      <c r="E108" s="971"/>
      <c r="F108" s="971"/>
      <c r="G108" s="972">
        <f>E87</f>
        <v>156714689.80461913</v>
      </c>
      <c r="H108" s="972"/>
      <c r="I108" s="971"/>
      <c r="J108" s="1026"/>
      <c r="K108" s="969" t="s">
        <v>324</v>
      </c>
      <c r="L108" s="971"/>
      <c r="M108" s="971"/>
      <c r="N108" s="1011"/>
      <c r="O108" s="625"/>
    </row>
    <row r="109" spans="1:20" ht="48" customHeight="1" thickBot="1" x14ac:dyDescent="0.3">
      <c r="A109" s="1000"/>
      <c r="B109" s="974"/>
      <c r="C109" s="970"/>
      <c r="D109" s="971" t="s">
        <v>1</v>
      </c>
      <c r="E109" s="971"/>
      <c r="F109" s="971"/>
      <c r="G109" s="972">
        <f>G87</f>
        <v>4036.2681052938592</v>
      </c>
      <c r="H109" s="972"/>
      <c r="I109" s="971"/>
      <c r="J109" s="1107"/>
      <c r="K109" s="969"/>
      <c r="L109" s="971"/>
      <c r="M109" s="971"/>
      <c r="N109" s="1011"/>
      <c r="O109" s="625"/>
    </row>
    <row r="110" spans="1:20" ht="15.75" customHeight="1" thickBot="1" x14ac:dyDescent="0.25">
      <c r="A110" s="1000"/>
      <c r="B110" s="974"/>
      <c r="C110" s="970"/>
      <c r="D110" s="969" t="s">
        <v>551</v>
      </c>
      <c r="E110" s="969"/>
      <c r="F110" s="969"/>
      <c r="G110" s="969"/>
      <c r="H110" s="969"/>
      <c r="I110" s="969"/>
      <c r="J110" s="1147" t="s">
        <v>13</v>
      </c>
      <c r="K110" s="969" t="s">
        <v>318</v>
      </c>
      <c r="L110" s="1005" t="s">
        <v>468</v>
      </c>
      <c r="M110" s="1006">
        <v>2.5000000000000001E-2</v>
      </c>
      <c r="N110" s="1004">
        <f>$D$11*M110</f>
        <v>171233.72874884272</v>
      </c>
      <c r="O110" s="627"/>
    </row>
    <row r="111" spans="1:20" ht="30" customHeight="1" thickBot="1" x14ac:dyDescent="0.25">
      <c r="A111" s="1000"/>
      <c r="B111" s="974"/>
      <c r="C111" s="970"/>
      <c r="D111" s="969"/>
      <c r="E111" s="969"/>
      <c r="F111" s="969"/>
      <c r="G111" s="969"/>
      <c r="H111" s="969"/>
      <c r="I111" s="969"/>
      <c r="J111" s="1115"/>
      <c r="K111" s="969"/>
      <c r="L111" s="1005"/>
      <c r="M111" s="1006"/>
      <c r="N111" s="1004"/>
      <c r="O111" s="627"/>
    </row>
    <row r="112" spans="1:20" ht="89.25" customHeight="1" thickBot="1" x14ac:dyDescent="0.25">
      <c r="A112" s="1000"/>
      <c r="B112" s="974"/>
      <c r="C112" s="970"/>
      <c r="D112" s="969"/>
      <c r="E112" s="969"/>
      <c r="F112" s="969"/>
      <c r="G112" s="969"/>
      <c r="H112" s="969"/>
      <c r="I112" s="969"/>
      <c r="J112" s="1115"/>
      <c r="K112" s="969"/>
      <c r="L112" s="1005"/>
      <c r="M112" s="1006"/>
      <c r="N112" s="1004"/>
      <c r="O112" s="627"/>
    </row>
    <row r="113" spans="1:15" ht="21.75" customHeight="1" thickBot="1" x14ac:dyDescent="0.25">
      <c r="A113" s="1000"/>
      <c r="B113" s="1007"/>
      <c r="C113" s="970"/>
      <c r="D113" s="969"/>
      <c r="E113" s="969"/>
      <c r="F113" s="969"/>
      <c r="G113" s="969"/>
      <c r="H113" s="969"/>
      <c r="I113" s="969"/>
      <c r="J113" s="1115"/>
      <c r="K113" s="969"/>
      <c r="L113" s="1005"/>
      <c r="M113" s="1006"/>
      <c r="N113" s="1004"/>
      <c r="O113" s="627"/>
    </row>
    <row r="114" spans="1:15" ht="4.5" customHeight="1" thickBot="1" x14ac:dyDescent="0.25">
      <c r="A114" s="1000"/>
      <c r="B114" s="1007"/>
      <c r="C114" s="970"/>
      <c r="D114" s="969"/>
      <c r="E114" s="969"/>
      <c r="F114" s="969"/>
      <c r="G114" s="969"/>
      <c r="H114" s="969"/>
      <c r="I114" s="969"/>
      <c r="J114" s="1116"/>
      <c r="K114" s="969"/>
      <c r="L114" s="1005"/>
      <c r="M114" s="1006"/>
      <c r="N114" s="1004"/>
      <c r="O114" s="627"/>
    </row>
    <row r="115" spans="1:15" ht="48" customHeight="1" thickBot="1" x14ac:dyDescent="0.25">
      <c r="A115" s="1000"/>
      <c r="B115" s="1016" t="s">
        <v>340</v>
      </c>
      <c r="C115" s="538" t="s">
        <v>357</v>
      </c>
      <c r="D115" s="1022" t="s">
        <v>366</v>
      </c>
      <c r="E115" s="1023"/>
      <c r="F115" s="1023"/>
      <c r="G115" s="1023"/>
      <c r="H115" s="1023"/>
      <c r="I115" s="1024"/>
      <c r="J115" s="976" t="s">
        <v>13</v>
      </c>
      <c r="K115" s="991" t="s">
        <v>482</v>
      </c>
      <c r="L115" s="671"/>
      <c r="M115" s="542">
        <v>3.7499999999999999E-3</v>
      </c>
      <c r="N115" s="667">
        <f t="shared" ref="N115:N119" si="1">$D$11*M115</f>
        <v>25685.059312326404</v>
      </c>
      <c r="O115" s="627"/>
    </row>
    <row r="116" spans="1:15" ht="76.5" customHeight="1" thickBot="1" x14ac:dyDescent="0.25">
      <c r="A116" s="1000"/>
      <c r="B116" s="1017"/>
      <c r="C116" s="539" t="s">
        <v>358</v>
      </c>
      <c r="D116" s="1022" t="s">
        <v>367</v>
      </c>
      <c r="E116" s="1023"/>
      <c r="F116" s="1023"/>
      <c r="G116" s="1023"/>
      <c r="H116" s="1023"/>
      <c r="I116" s="1024"/>
      <c r="J116" s="1018"/>
      <c r="K116" s="1018"/>
      <c r="L116" s="671"/>
      <c r="M116" s="542">
        <v>3.7499999999999999E-3</v>
      </c>
      <c r="N116" s="667">
        <f t="shared" si="1"/>
        <v>25685.059312326404</v>
      </c>
      <c r="O116" s="627"/>
    </row>
    <row r="117" spans="1:15" ht="48" customHeight="1" thickBot="1" x14ac:dyDescent="0.25">
      <c r="A117" s="1000"/>
      <c r="B117" s="1017"/>
      <c r="C117" s="539" t="s">
        <v>359</v>
      </c>
      <c r="D117" s="1022" t="s">
        <v>368</v>
      </c>
      <c r="E117" s="1023"/>
      <c r="F117" s="1023"/>
      <c r="G117" s="1023"/>
      <c r="H117" s="1023"/>
      <c r="I117" s="1024"/>
      <c r="J117" s="1018"/>
      <c r="K117" s="1018"/>
      <c r="L117" s="671"/>
      <c r="M117" s="542">
        <v>3.7499999999999999E-3</v>
      </c>
      <c r="N117" s="667">
        <f t="shared" si="1"/>
        <v>25685.059312326404</v>
      </c>
      <c r="O117" s="627"/>
    </row>
    <row r="118" spans="1:15" ht="48" customHeight="1" thickBot="1" x14ac:dyDescent="0.25">
      <c r="A118" s="1000"/>
      <c r="B118" s="1017"/>
      <c r="C118" s="540" t="s">
        <v>360</v>
      </c>
      <c r="D118" s="1022" t="s">
        <v>369</v>
      </c>
      <c r="E118" s="1023"/>
      <c r="F118" s="1023"/>
      <c r="G118" s="1023"/>
      <c r="H118" s="1023"/>
      <c r="I118" s="1024"/>
      <c r="J118" s="1102"/>
      <c r="K118" s="1018"/>
      <c r="L118" s="671"/>
      <c r="M118" s="542">
        <v>3.7499999999999999E-3</v>
      </c>
      <c r="N118" s="667">
        <f t="shared" si="1"/>
        <v>25685.059312326404</v>
      </c>
      <c r="O118" s="627"/>
    </row>
    <row r="119" spans="1:15" ht="21" customHeight="1" x14ac:dyDescent="0.2">
      <c r="A119" s="1000"/>
      <c r="B119" s="976" t="s">
        <v>151</v>
      </c>
      <c r="C119" s="979">
        <f>'ES CT Electric Table A  '!N20/1000</f>
        <v>3001.1547412745299</v>
      </c>
      <c r="D119" s="982" t="s">
        <v>535</v>
      </c>
      <c r="E119" s="983"/>
      <c r="F119" s="983"/>
      <c r="G119" s="983"/>
      <c r="H119" s="983"/>
      <c r="I119" s="984"/>
      <c r="J119" s="991"/>
      <c r="K119" s="991" t="s">
        <v>274</v>
      </c>
      <c r="L119" s="994" t="s">
        <v>545</v>
      </c>
      <c r="M119" s="1019">
        <v>1.4999999999999999E-2</v>
      </c>
      <c r="N119" s="1008">
        <f t="shared" si="1"/>
        <v>102740.23724930562</v>
      </c>
      <c r="O119" s="627"/>
    </row>
    <row r="120" spans="1:15" ht="105" customHeight="1" x14ac:dyDescent="0.2">
      <c r="A120" s="1000"/>
      <c r="B120" s="977"/>
      <c r="C120" s="980"/>
      <c r="D120" s="985"/>
      <c r="E120" s="986"/>
      <c r="F120" s="986"/>
      <c r="G120" s="986"/>
      <c r="H120" s="986"/>
      <c r="I120" s="987"/>
      <c r="J120" s="1018"/>
      <c r="K120" s="992"/>
      <c r="L120" s="995"/>
      <c r="M120" s="1020"/>
      <c r="N120" s="1009"/>
      <c r="O120" s="627"/>
    </row>
    <row r="121" spans="1:15" ht="21.75" customHeight="1" thickBot="1" x14ac:dyDescent="0.25">
      <c r="A121" s="1000"/>
      <c r="B121" s="978"/>
      <c r="C121" s="981"/>
      <c r="D121" s="988"/>
      <c r="E121" s="989"/>
      <c r="F121" s="989"/>
      <c r="G121" s="989"/>
      <c r="H121" s="989"/>
      <c r="I121" s="990"/>
      <c r="J121" s="1102"/>
      <c r="K121" s="993"/>
      <c r="L121" s="996"/>
      <c r="M121" s="1021"/>
      <c r="N121" s="1010"/>
      <c r="O121" s="627"/>
    </row>
    <row r="122" spans="1:15" ht="71.25" customHeight="1" thickBot="1" x14ac:dyDescent="0.25">
      <c r="A122" s="1000"/>
      <c r="B122" s="647" t="s">
        <v>361</v>
      </c>
      <c r="C122" s="648"/>
      <c r="D122" s="1001" t="s">
        <v>362</v>
      </c>
      <c r="E122" s="1002"/>
      <c r="F122" s="1002"/>
      <c r="G122" s="1002"/>
      <c r="H122" s="1002"/>
      <c r="I122" s="1003"/>
      <c r="J122" s="665"/>
      <c r="K122" s="642" t="s">
        <v>363</v>
      </c>
      <c r="L122" s="663" t="s">
        <v>364</v>
      </c>
      <c r="M122" s="541">
        <v>0.01</v>
      </c>
      <c r="N122" s="668">
        <f>$D$11*M122</f>
        <v>68493.491499537078</v>
      </c>
      <c r="O122" s="627"/>
    </row>
    <row r="123" spans="1:15" ht="26.25" customHeight="1" thickBot="1" x14ac:dyDescent="0.3">
      <c r="A123" s="1000"/>
      <c r="B123" s="964" t="s">
        <v>82</v>
      </c>
      <c r="C123" s="965"/>
      <c r="D123" s="965"/>
      <c r="E123" s="965"/>
      <c r="F123" s="965"/>
      <c r="G123" s="965"/>
      <c r="H123" s="965"/>
      <c r="I123" s="965"/>
      <c r="J123" s="965"/>
      <c r="K123" s="965"/>
      <c r="L123" s="966"/>
      <c r="M123" s="455">
        <f>SUM(M31:M122)</f>
        <v>1.0000000000000002</v>
      </c>
      <c r="N123" s="456">
        <f>SUM(N31:N122)</f>
        <v>6849349.1499537099</v>
      </c>
      <c r="O123" s="628"/>
    </row>
    <row r="124" spans="1:15" ht="38.25" customHeight="1" x14ac:dyDescent="0.25">
      <c r="B124" s="58"/>
      <c r="C124" s="58"/>
      <c r="D124" s="152"/>
      <c r="E124" s="58"/>
      <c r="F124" s="58"/>
      <c r="G124" s="58"/>
      <c r="H124" s="58"/>
      <c r="I124" s="58"/>
      <c r="J124" s="58"/>
      <c r="K124" s="58"/>
      <c r="L124" s="58"/>
      <c r="M124" s="59"/>
      <c r="N124" s="60"/>
      <c r="O124" s="60"/>
    </row>
    <row r="125" spans="1:15" ht="21.75" customHeight="1" x14ac:dyDescent="0.25">
      <c r="B125" s="58"/>
      <c r="C125" s="58"/>
      <c r="D125" s="58"/>
      <c r="E125" s="58"/>
      <c r="F125" s="616"/>
      <c r="G125" s="617"/>
      <c r="H125" s="58"/>
      <c r="I125" s="58"/>
      <c r="J125" s="58"/>
      <c r="K125" s="58"/>
      <c r="L125" s="58"/>
      <c r="M125" s="59"/>
      <c r="N125" s="60"/>
      <c r="O125" s="60"/>
    </row>
    <row r="126" spans="1:15" ht="30" customHeight="1" x14ac:dyDescent="0.25">
      <c r="B126" s="58"/>
      <c r="C126" s="58"/>
      <c r="D126" s="58"/>
      <c r="E126" s="58"/>
      <c r="F126" s="616"/>
      <c r="G126" s="617"/>
      <c r="H126" s="58"/>
      <c r="I126" s="58"/>
      <c r="J126" s="58"/>
      <c r="K126" s="58"/>
      <c r="L126" s="58"/>
      <c r="M126" s="59"/>
      <c r="N126" s="60"/>
      <c r="O126" s="60"/>
    </row>
    <row r="127" spans="1:15" ht="18.75" customHeight="1" x14ac:dyDescent="0.25">
      <c r="B127" s="58"/>
      <c r="C127" s="58"/>
      <c r="D127" s="58"/>
      <c r="E127" s="615"/>
      <c r="F127" s="616"/>
      <c r="G127" s="617"/>
      <c r="H127" s="58"/>
      <c r="I127" s="58"/>
      <c r="J127" s="58"/>
      <c r="K127" s="58"/>
      <c r="L127" s="58"/>
      <c r="M127" s="59"/>
      <c r="N127" s="60"/>
      <c r="O127" s="60"/>
    </row>
    <row r="128" spans="1:15" ht="18.75" customHeight="1" x14ac:dyDescent="0.25">
      <c r="B128" s="58"/>
      <c r="C128" s="58"/>
      <c r="D128" s="58"/>
      <c r="E128" s="58"/>
      <c r="F128" s="58"/>
      <c r="G128" s="58"/>
      <c r="H128" s="58"/>
      <c r="I128" s="58"/>
      <c r="J128" s="58"/>
      <c r="K128" s="58"/>
      <c r="L128" s="58"/>
      <c r="M128" s="59"/>
      <c r="N128" s="60"/>
      <c r="O128" s="60"/>
    </row>
    <row r="129" spans="2:15" ht="18.75" customHeight="1" x14ac:dyDescent="0.25">
      <c r="B129" s="58"/>
      <c r="C129" s="58"/>
      <c r="D129" s="58"/>
      <c r="E129" s="58"/>
      <c r="F129" s="58"/>
      <c r="G129" s="58"/>
      <c r="H129" s="58"/>
      <c r="I129" s="58"/>
      <c r="J129" s="58"/>
      <c r="K129" s="58"/>
      <c r="L129" s="58"/>
      <c r="M129" s="59"/>
      <c r="N129" s="60"/>
      <c r="O129" s="60"/>
    </row>
    <row r="130" spans="2:15" ht="30.75" customHeight="1" x14ac:dyDescent="0.25">
      <c r="B130" s="58"/>
      <c r="C130" s="58"/>
      <c r="D130" s="58"/>
      <c r="E130" s="58"/>
      <c r="F130" s="58"/>
      <c r="G130" s="58"/>
      <c r="H130" s="58"/>
      <c r="I130" s="58"/>
      <c r="J130" s="58"/>
      <c r="K130" s="58"/>
      <c r="L130" s="58"/>
      <c r="M130" s="59"/>
      <c r="N130" s="60"/>
      <c r="O130" s="60"/>
    </row>
    <row r="131" spans="2:15" ht="18.75" customHeight="1" x14ac:dyDescent="0.25">
      <c r="B131" s="58"/>
      <c r="C131" s="58"/>
      <c r="D131" s="58"/>
      <c r="E131" s="58"/>
      <c r="F131" s="58"/>
      <c r="G131" s="58"/>
      <c r="H131" s="58"/>
      <c r="I131" s="58"/>
      <c r="J131" s="58"/>
      <c r="K131" s="58"/>
      <c r="L131" s="58"/>
      <c r="M131" s="59"/>
      <c r="N131" s="60"/>
      <c r="O131" s="60"/>
    </row>
    <row r="132" spans="2:15" ht="18.75" customHeight="1" x14ac:dyDescent="0.25">
      <c r="B132" s="58"/>
      <c r="C132" s="58"/>
      <c r="D132" s="58"/>
      <c r="E132" s="58"/>
      <c r="F132" s="58"/>
      <c r="G132" s="58"/>
      <c r="H132" s="58"/>
      <c r="I132" s="58"/>
      <c r="J132" s="58"/>
      <c r="K132" s="58"/>
      <c r="L132" s="58"/>
      <c r="M132" s="59"/>
      <c r="N132" s="60"/>
      <c r="O132" s="60"/>
    </row>
    <row r="133" spans="2:15" ht="18.75" customHeight="1" x14ac:dyDescent="0.25">
      <c r="B133" s="58"/>
      <c r="C133" s="58"/>
      <c r="D133" s="58"/>
      <c r="E133" s="58"/>
      <c r="F133" s="58"/>
      <c r="G133" s="58"/>
      <c r="H133" s="58"/>
      <c r="I133" s="58"/>
      <c r="J133" s="58"/>
      <c r="K133" s="58"/>
      <c r="L133" s="58"/>
      <c r="M133" s="59"/>
      <c r="N133" s="60"/>
      <c r="O133" s="60"/>
    </row>
    <row r="134" spans="2:15" ht="23.25" customHeight="1" x14ac:dyDescent="0.25">
      <c r="B134" s="58"/>
      <c r="C134" s="58"/>
      <c r="D134" s="58"/>
      <c r="E134" s="58"/>
      <c r="F134" s="58"/>
      <c r="G134" s="58"/>
      <c r="H134" s="58"/>
      <c r="I134" s="58"/>
      <c r="J134" s="58"/>
      <c r="K134" s="58"/>
      <c r="L134" s="58"/>
      <c r="M134" s="59"/>
      <c r="N134" s="60"/>
      <c r="O134" s="60"/>
    </row>
    <row r="135" spans="2:15" ht="19.5" customHeight="1" x14ac:dyDescent="0.25">
      <c r="B135" s="58"/>
      <c r="C135" s="58"/>
      <c r="D135" s="58"/>
      <c r="E135" s="58"/>
      <c r="F135" s="58"/>
      <c r="G135" s="58"/>
      <c r="H135" s="58"/>
      <c r="I135" s="58"/>
      <c r="J135" s="58"/>
      <c r="K135" s="58"/>
      <c r="L135" s="58"/>
      <c r="M135" s="59"/>
      <c r="N135" s="60"/>
      <c r="O135" s="60"/>
    </row>
    <row r="136" spans="2:15" ht="15" x14ac:dyDescent="0.25">
      <c r="B136" s="58"/>
      <c r="C136" s="58"/>
      <c r="D136" s="58"/>
      <c r="E136" s="58"/>
      <c r="F136" s="58"/>
      <c r="G136" s="58"/>
      <c r="H136" s="58"/>
      <c r="I136" s="58"/>
      <c r="J136" s="58"/>
      <c r="K136" s="58"/>
      <c r="L136" s="58"/>
      <c r="M136" s="59"/>
      <c r="N136" s="60"/>
      <c r="O136" s="60"/>
    </row>
    <row r="137" spans="2:15" ht="15" x14ac:dyDescent="0.25">
      <c r="B137" s="58"/>
      <c r="C137" s="58"/>
      <c r="D137" s="58"/>
      <c r="E137" s="58"/>
      <c r="F137" s="58"/>
      <c r="G137" s="58"/>
      <c r="H137" s="58"/>
      <c r="I137" s="58"/>
      <c r="J137" s="58"/>
      <c r="K137" s="58"/>
      <c r="L137" s="58"/>
      <c r="M137" s="59"/>
      <c r="N137" s="60"/>
      <c r="O137" s="60"/>
    </row>
    <row r="138" spans="2:15" ht="15" x14ac:dyDescent="0.25">
      <c r="B138" s="58"/>
      <c r="C138" s="58"/>
      <c r="D138" s="58"/>
      <c r="E138" s="58"/>
      <c r="F138" s="58"/>
      <c r="G138" s="58"/>
      <c r="H138" s="58"/>
      <c r="I138" s="58"/>
      <c r="J138" s="58"/>
      <c r="K138" s="58"/>
      <c r="L138" s="58"/>
      <c r="M138" s="59"/>
      <c r="N138" s="60"/>
      <c r="O138" s="60"/>
    </row>
    <row r="139" spans="2:15" ht="15" x14ac:dyDescent="0.25">
      <c r="B139" s="58"/>
      <c r="C139" s="58"/>
      <c r="D139" s="58"/>
      <c r="E139" s="58"/>
      <c r="F139" s="58"/>
      <c r="G139" s="58"/>
      <c r="H139" s="58"/>
      <c r="I139" s="58"/>
      <c r="J139" s="58"/>
      <c r="K139" s="58"/>
      <c r="L139" s="58"/>
      <c r="M139" s="59"/>
      <c r="N139" s="60"/>
      <c r="O139" s="60"/>
    </row>
    <row r="140" spans="2:15" ht="15" x14ac:dyDescent="0.25">
      <c r="B140" s="58"/>
      <c r="C140" s="58"/>
      <c r="D140" s="58"/>
      <c r="E140" s="58"/>
      <c r="F140" s="58"/>
      <c r="G140" s="58"/>
      <c r="H140" s="58"/>
      <c r="I140" s="58"/>
      <c r="J140" s="58"/>
      <c r="K140" s="58"/>
      <c r="L140" s="58"/>
      <c r="M140" s="59"/>
      <c r="N140" s="60"/>
      <c r="O140" s="60"/>
    </row>
    <row r="141" spans="2:15" ht="15" x14ac:dyDescent="0.25">
      <c r="B141" s="58"/>
      <c r="C141" s="58"/>
      <c r="D141" s="58"/>
      <c r="E141" s="58"/>
      <c r="F141" s="58"/>
      <c r="G141" s="58"/>
      <c r="H141" s="58"/>
      <c r="I141" s="58"/>
      <c r="J141" s="58"/>
      <c r="K141" s="58"/>
      <c r="L141" s="58"/>
      <c r="M141" s="59"/>
      <c r="N141" s="60"/>
      <c r="O141" s="60"/>
    </row>
    <row r="142" spans="2:15" ht="15" x14ac:dyDescent="0.25">
      <c r="B142" s="58"/>
      <c r="C142" s="58"/>
      <c r="D142" s="58"/>
      <c r="E142" s="58"/>
      <c r="F142" s="58"/>
      <c r="G142" s="58"/>
      <c r="H142" s="58"/>
      <c r="I142" s="58"/>
      <c r="J142" s="58"/>
      <c r="K142" s="58"/>
      <c r="L142" s="58"/>
      <c r="M142" s="59"/>
      <c r="N142" s="60"/>
      <c r="O142" s="60"/>
    </row>
    <row r="143" spans="2:15" ht="15" x14ac:dyDescent="0.25">
      <c r="B143" s="58"/>
      <c r="C143" s="58"/>
      <c r="D143" s="58"/>
      <c r="E143" s="58"/>
      <c r="F143" s="58"/>
      <c r="G143" s="58"/>
      <c r="H143" s="58"/>
      <c r="I143" s="58"/>
      <c r="J143" s="58"/>
      <c r="K143" s="58"/>
      <c r="L143" s="58"/>
      <c r="M143" s="59"/>
      <c r="N143" s="60"/>
      <c r="O143" s="60"/>
    </row>
    <row r="144" spans="2:15" ht="15" x14ac:dyDescent="0.25">
      <c r="B144" s="58"/>
      <c r="C144" s="58"/>
      <c r="D144" s="58"/>
      <c r="E144" s="58"/>
      <c r="F144" s="58"/>
      <c r="G144" s="58"/>
      <c r="H144" s="58"/>
      <c r="I144" s="58"/>
      <c r="J144" s="58"/>
      <c r="K144" s="58"/>
      <c r="L144" s="58"/>
      <c r="M144" s="59"/>
      <c r="N144" s="60"/>
      <c r="O144" s="60"/>
    </row>
    <row r="145" spans="2:15" ht="15" x14ac:dyDescent="0.25">
      <c r="B145" s="58"/>
      <c r="C145" s="58"/>
      <c r="D145" s="58"/>
      <c r="E145" s="58"/>
      <c r="F145" s="58"/>
      <c r="G145" s="58"/>
      <c r="H145" s="58"/>
      <c r="I145" s="58"/>
      <c r="J145" s="58"/>
      <c r="K145" s="58"/>
      <c r="L145" s="58"/>
      <c r="M145" s="59"/>
      <c r="N145" s="60"/>
      <c r="O145" s="60"/>
    </row>
    <row r="146" spans="2:15" ht="15" x14ac:dyDescent="0.25">
      <c r="B146" s="58"/>
      <c r="C146" s="58"/>
      <c r="D146" s="58"/>
      <c r="E146" s="58"/>
      <c r="F146" s="58"/>
      <c r="G146" s="58"/>
      <c r="H146" s="58"/>
      <c r="I146" s="58"/>
      <c r="J146" s="58"/>
      <c r="K146" s="58"/>
      <c r="L146" s="58"/>
      <c r="M146" s="59"/>
      <c r="N146" s="60"/>
      <c r="O146" s="60"/>
    </row>
    <row r="147" spans="2:15" ht="15" x14ac:dyDescent="0.25">
      <c r="B147" s="58"/>
      <c r="C147" s="58"/>
      <c r="D147" s="58"/>
      <c r="E147" s="58"/>
      <c r="F147" s="58"/>
      <c r="G147" s="58"/>
      <c r="H147" s="58"/>
      <c r="I147" s="58"/>
      <c r="J147" s="58"/>
      <c r="K147" s="58"/>
      <c r="L147" s="58"/>
      <c r="M147" s="59"/>
      <c r="N147" s="60"/>
      <c r="O147" s="60"/>
    </row>
  </sheetData>
  <mergeCells count="223">
    <mergeCell ref="D118:I118"/>
    <mergeCell ref="M119:M121"/>
    <mergeCell ref="N119:N121"/>
    <mergeCell ref="D122:I122"/>
    <mergeCell ref="B123:L123"/>
    <mergeCell ref="B119:B121"/>
    <mergeCell ref="C119:C121"/>
    <mergeCell ref="D119:I121"/>
    <mergeCell ref="J119:J121"/>
    <mergeCell ref="K119:K121"/>
    <mergeCell ref="L119:L121"/>
    <mergeCell ref="M97:M101"/>
    <mergeCell ref="N102:N107"/>
    <mergeCell ref="B108:B114"/>
    <mergeCell ref="C108:C114"/>
    <mergeCell ref="D108:F108"/>
    <mergeCell ref="G108:H108"/>
    <mergeCell ref="I108:I109"/>
    <mergeCell ref="J108:J109"/>
    <mergeCell ref="L110:L114"/>
    <mergeCell ref="M110:M114"/>
    <mergeCell ref="N110:N114"/>
    <mergeCell ref="K108:K109"/>
    <mergeCell ref="L108:L109"/>
    <mergeCell ref="M108:M109"/>
    <mergeCell ref="N108:N109"/>
    <mergeCell ref="D109:F109"/>
    <mergeCell ref="G109:H109"/>
    <mergeCell ref="D110:I114"/>
    <mergeCell ref="N97:N101"/>
    <mergeCell ref="J110:J114"/>
    <mergeCell ref="K110:K114"/>
    <mergeCell ref="M102:M107"/>
    <mergeCell ref="A102:A123"/>
    <mergeCell ref="B102:B107"/>
    <mergeCell ref="C102:C107"/>
    <mergeCell ref="D102:I107"/>
    <mergeCell ref="J102:J107"/>
    <mergeCell ref="A82:A101"/>
    <mergeCell ref="K102:K107"/>
    <mergeCell ref="L102:L107"/>
    <mergeCell ref="D93:H93"/>
    <mergeCell ref="B94:B95"/>
    <mergeCell ref="D96:G96"/>
    <mergeCell ref="B97:B101"/>
    <mergeCell ref="C97:C101"/>
    <mergeCell ref="D97:I101"/>
    <mergeCell ref="L84:L85"/>
    <mergeCell ref="J97:J101"/>
    <mergeCell ref="K97:K101"/>
    <mergeCell ref="L97:L101"/>
    <mergeCell ref="B115:B118"/>
    <mergeCell ref="D115:I115"/>
    <mergeCell ref="J115:J118"/>
    <mergeCell ref="K115:K118"/>
    <mergeCell ref="D116:I116"/>
    <mergeCell ref="D117:I117"/>
    <mergeCell ref="L82:L83"/>
    <mergeCell ref="M82:M83"/>
    <mergeCell ref="N82:N83"/>
    <mergeCell ref="M84:M92"/>
    <mergeCell ref="N84:N92"/>
    <mergeCell ref="N76:N81"/>
    <mergeCell ref="L72:L75"/>
    <mergeCell ref="M72:M75"/>
    <mergeCell ref="N72:N75"/>
    <mergeCell ref="L86:L92"/>
    <mergeCell ref="C84:C92"/>
    <mergeCell ref="E84:F84"/>
    <mergeCell ref="G84:H84"/>
    <mergeCell ref="K84:K92"/>
    <mergeCell ref="B82:C83"/>
    <mergeCell ref="D82:D83"/>
    <mergeCell ref="E82:F83"/>
    <mergeCell ref="G82:H83"/>
    <mergeCell ref="I82:I83"/>
    <mergeCell ref="E88:F88"/>
    <mergeCell ref="G88:H88"/>
    <mergeCell ref="D89:I89"/>
    <mergeCell ref="D92:H92"/>
    <mergeCell ref="E85:F85"/>
    <mergeCell ref="G85:H85"/>
    <mergeCell ref="E86:F86"/>
    <mergeCell ref="J82:J83"/>
    <mergeCell ref="K82:K83"/>
    <mergeCell ref="G86:H86"/>
    <mergeCell ref="E87:F87"/>
    <mergeCell ref="G87:H87"/>
    <mergeCell ref="B84:B92"/>
    <mergeCell ref="M65:M68"/>
    <mergeCell ref="D69:I69"/>
    <mergeCell ref="B63:B71"/>
    <mergeCell ref="C63:C71"/>
    <mergeCell ref="K58:K62"/>
    <mergeCell ref="L58:L62"/>
    <mergeCell ref="M58:M62"/>
    <mergeCell ref="B76:B81"/>
    <mergeCell ref="C76:C81"/>
    <mergeCell ref="D76:F76"/>
    <mergeCell ref="G76:H76"/>
    <mergeCell ref="I76:I77"/>
    <mergeCell ref="J76:J81"/>
    <mergeCell ref="K76:K81"/>
    <mergeCell ref="J70:J71"/>
    <mergeCell ref="K70:K71"/>
    <mergeCell ref="B72:B75"/>
    <mergeCell ref="C72:C75"/>
    <mergeCell ref="D72:I75"/>
    <mergeCell ref="J72:J75"/>
    <mergeCell ref="K72:K75"/>
    <mergeCell ref="L76:L81"/>
    <mergeCell ref="M76:M81"/>
    <mergeCell ref="D77:F77"/>
    <mergeCell ref="N58:N62"/>
    <mergeCell ref="D63:F63"/>
    <mergeCell ref="G63:H63"/>
    <mergeCell ref="I63:I64"/>
    <mergeCell ref="L70:L71"/>
    <mergeCell ref="M70:M71"/>
    <mergeCell ref="N70:N71"/>
    <mergeCell ref="N65:N68"/>
    <mergeCell ref="J56:J57"/>
    <mergeCell ref="K56:K57"/>
    <mergeCell ref="L56:L57"/>
    <mergeCell ref="M56:M57"/>
    <mergeCell ref="N56:N57"/>
    <mergeCell ref="D57:F57"/>
    <mergeCell ref="G57:H57"/>
    <mergeCell ref="J63:J64"/>
    <mergeCell ref="K63:K64"/>
    <mergeCell ref="L63:L64"/>
    <mergeCell ref="M63:M64"/>
    <mergeCell ref="N63:N64"/>
    <mergeCell ref="J58:J62"/>
    <mergeCell ref="J65:J68"/>
    <mergeCell ref="K65:K68"/>
    <mergeCell ref="L65:L68"/>
    <mergeCell ref="A56:A81"/>
    <mergeCell ref="B56:B62"/>
    <mergeCell ref="C56:C62"/>
    <mergeCell ref="D56:F56"/>
    <mergeCell ref="G56:H56"/>
    <mergeCell ref="I56:I57"/>
    <mergeCell ref="D58:I62"/>
    <mergeCell ref="D65:I68"/>
    <mergeCell ref="D70:I71"/>
    <mergeCell ref="D64:F64"/>
    <mergeCell ref="G64:H64"/>
    <mergeCell ref="G77:H77"/>
    <mergeCell ref="D78:I81"/>
    <mergeCell ref="J51:J53"/>
    <mergeCell ref="K51:K53"/>
    <mergeCell ref="L51:L53"/>
    <mergeCell ref="M51:M53"/>
    <mergeCell ref="N51:N53"/>
    <mergeCell ref="D54:I54"/>
    <mergeCell ref="I49:I50"/>
    <mergeCell ref="J49:J50"/>
    <mergeCell ref="K49:K50"/>
    <mergeCell ref="L49:L50"/>
    <mergeCell ref="M49:M50"/>
    <mergeCell ref="N49:N50"/>
    <mergeCell ref="B46:B47"/>
    <mergeCell ref="D48:G48"/>
    <mergeCell ref="B49:B55"/>
    <mergeCell ref="C49:C55"/>
    <mergeCell ref="D49:F49"/>
    <mergeCell ref="G49:H49"/>
    <mergeCell ref="D50:F50"/>
    <mergeCell ref="G50:H50"/>
    <mergeCell ref="D51:I53"/>
    <mergeCell ref="D55:I55"/>
    <mergeCell ref="D45:G45"/>
    <mergeCell ref="H45:I45"/>
    <mergeCell ref="E37:F37"/>
    <mergeCell ref="G37:H37"/>
    <mergeCell ref="E38:F38"/>
    <mergeCell ref="G38:H38"/>
    <mergeCell ref="D39:I39"/>
    <mergeCell ref="E40:F40"/>
    <mergeCell ref="G40:H40"/>
    <mergeCell ref="D31:J32"/>
    <mergeCell ref="K31:K44"/>
    <mergeCell ref="L31:L34"/>
    <mergeCell ref="M31:M44"/>
    <mergeCell ref="N31:N44"/>
    <mergeCell ref="E33:F33"/>
    <mergeCell ref="G33:H33"/>
    <mergeCell ref="E34:F34"/>
    <mergeCell ref="G34:H34"/>
    <mergeCell ref="E35:F35"/>
    <mergeCell ref="G35:H35"/>
    <mergeCell ref="L35:L44"/>
    <mergeCell ref="E36:F36"/>
    <mergeCell ref="G36:H36"/>
    <mergeCell ref="D41:I41"/>
    <mergeCell ref="E43:F43"/>
    <mergeCell ref="G43:H43"/>
    <mergeCell ref="D44:I44"/>
    <mergeCell ref="A2:A24"/>
    <mergeCell ref="B2:N2"/>
    <mergeCell ref="B3:N4"/>
    <mergeCell ref="B5:N5"/>
    <mergeCell ref="B6:D6"/>
    <mergeCell ref="E6:N24"/>
    <mergeCell ref="C16:D16"/>
    <mergeCell ref="B18:D24"/>
    <mergeCell ref="A26:A55"/>
    <mergeCell ref="B26:C27"/>
    <mergeCell ref="D26:I27"/>
    <mergeCell ref="K26:N26"/>
    <mergeCell ref="B28:N28"/>
    <mergeCell ref="B29:C30"/>
    <mergeCell ref="D29:D30"/>
    <mergeCell ref="E29:F30"/>
    <mergeCell ref="G29:H30"/>
    <mergeCell ref="I29:I30"/>
    <mergeCell ref="K29:K30"/>
    <mergeCell ref="L29:L30"/>
    <mergeCell ref="M29:M30"/>
    <mergeCell ref="N29:N30"/>
    <mergeCell ref="B31:B44"/>
    <mergeCell ref="C31:C44"/>
  </mergeCells>
  <printOptions horizontalCentered="1"/>
  <pageMargins left="0" right="0" top="1" bottom="0.5" header="0.5" footer="0.5"/>
  <pageSetup scale="49" fitToHeight="5" orientation="landscape"/>
  <headerFooter alignWithMargins="0">
    <oddHeader xml:space="preserve">&amp;C&amp;"Arial,Bold"&amp;14EVERSOURCE CT ELECTRIC - 2022 PERFORMANCE INCENTIVE
&amp;"Arial,Regular"&amp;11(Some Monetary Values in Thousands of Dollars) &amp;"Arial,Bold"&amp;14
</oddHeader>
    <oddFooter xml:space="preserve">&amp;CTotals may vary due to rounding
</oddFooter>
  </headerFooter>
  <rowBreaks count="4" manualBreakCount="4">
    <brk id="25" min="1" max="12" man="1"/>
    <brk id="55" min="1" max="12" man="1"/>
    <brk id="81" max="16383" man="1"/>
    <brk id="107" min="1" max="12" man="1"/>
  </rowBreaks>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B336-0656-47DF-872C-BA59052B1DD3}">
  <sheetPr>
    <tabColor theme="9" tint="0.39997558519241921"/>
  </sheetPr>
  <dimension ref="A2:T147"/>
  <sheetViews>
    <sheetView tabSelected="1" topLeftCell="A88" zoomScale="85" zoomScaleNormal="85" zoomScalePageLayoutView="80" workbookViewId="0">
      <selection activeCell="J97" sqref="J97:J101"/>
    </sheetView>
  </sheetViews>
  <sheetFormatPr defaultRowHeight="12.75" x14ac:dyDescent="0.2"/>
  <cols>
    <col min="2" max="2" width="27.7109375" customWidth="1"/>
    <col min="3" max="3" width="20.5703125" customWidth="1"/>
    <col min="4" max="4" width="26.5703125" customWidth="1"/>
    <col min="5" max="5" width="20.140625" bestFit="1" customWidth="1"/>
    <col min="6" max="6" width="15.5703125" customWidth="1"/>
    <col min="7" max="7" width="20.140625" bestFit="1" customWidth="1"/>
    <col min="8" max="8" width="8.28515625" customWidth="1"/>
    <col min="9" max="10" width="27.42578125" customWidth="1"/>
    <col min="11" max="11" width="30.7109375" customWidth="1"/>
    <col min="12" max="12" width="26.7109375" customWidth="1"/>
    <col min="13" max="13" width="13" style="641" bestFit="1" customWidth="1"/>
    <col min="14" max="15" width="17.5703125" style="147" customWidth="1"/>
    <col min="17" max="17" width="12" customWidth="1"/>
    <col min="18" max="18" width="14.5703125" customWidth="1"/>
    <col min="19" max="19" width="18.85546875" customWidth="1"/>
    <col min="20" max="20" width="14.85546875" customWidth="1"/>
  </cols>
  <sheetData>
    <row r="2" spans="1:19" ht="22.5" customHeight="1" x14ac:dyDescent="0.35">
      <c r="A2" s="955"/>
      <c r="B2" s="1046" t="s">
        <v>176</v>
      </c>
      <c r="C2" s="1046"/>
      <c r="D2" s="1046"/>
      <c r="E2" s="1046"/>
      <c r="F2" s="1046"/>
      <c r="G2" s="1046"/>
      <c r="H2" s="1046"/>
      <c r="I2" s="1046"/>
      <c r="J2" s="1046"/>
      <c r="K2" s="1046"/>
      <c r="L2" s="1046"/>
      <c r="M2" s="1046"/>
      <c r="N2" s="1046"/>
      <c r="O2" s="654"/>
      <c r="P2" s="41"/>
      <c r="Q2" s="41"/>
    </row>
    <row r="3" spans="1:19" ht="24" customHeight="1" x14ac:dyDescent="0.35">
      <c r="A3" s="955"/>
      <c r="B3" s="1046" t="s">
        <v>428</v>
      </c>
      <c r="C3" s="1046"/>
      <c r="D3" s="1046"/>
      <c r="E3" s="1046"/>
      <c r="F3" s="1046"/>
      <c r="G3" s="1046"/>
      <c r="H3" s="1046"/>
      <c r="I3" s="1046"/>
      <c r="J3" s="1046"/>
      <c r="K3" s="1046"/>
      <c r="L3" s="1046"/>
      <c r="M3" s="1046"/>
      <c r="N3" s="1046"/>
      <c r="O3" s="654"/>
      <c r="P3" s="41"/>
      <c r="Q3" s="41"/>
    </row>
    <row r="4" spans="1:19" ht="9.75" customHeight="1" x14ac:dyDescent="0.35">
      <c r="A4" s="955"/>
      <c r="B4" s="1046"/>
      <c r="C4" s="1046"/>
      <c r="D4" s="1046"/>
      <c r="E4" s="1046"/>
      <c r="F4" s="1046"/>
      <c r="G4" s="1046"/>
      <c r="H4" s="1046"/>
      <c r="I4" s="1046"/>
      <c r="J4" s="1046"/>
      <c r="K4" s="1046"/>
      <c r="L4" s="1046"/>
      <c r="M4" s="1046"/>
      <c r="N4" s="1046"/>
      <c r="O4" s="654"/>
      <c r="P4" s="41"/>
      <c r="Q4" s="41"/>
    </row>
    <row r="5" spans="1:19" s="640" customFormat="1" ht="129.75" customHeight="1" x14ac:dyDescent="0.25">
      <c r="A5" s="955"/>
      <c r="B5" s="1049" t="s">
        <v>542</v>
      </c>
      <c r="C5" s="1049"/>
      <c r="D5" s="1049"/>
      <c r="E5" s="1049"/>
      <c r="F5" s="1049"/>
      <c r="G5" s="1049"/>
      <c r="H5" s="1049"/>
      <c r="I5" s="1049"/>
      <c r="J5" s="1049"/>
      <c r="K5" s="1049"/>
      <c r="L5" s="1049"/>
      <c r="M5" s="1049"/>
      <c r="N5" s="1049"/>
      <c r="O5" s="657"/>
      <c r="P5" s="148"/>
      <c r="Q5" s="148"/>
      <c r="R5" s="57"/>
      <c r="S5" s="57"/>
    </row>
    <row r="6" spans="1:19" ht="28.5" customHeight="1" x14ac:dyDescent="0.25">
      <c r="A6" s="955"/>
      <c r="B6" s="1050" t="s">
        <v>89</v>
      </c>
      <c r="C6" s="1050"/>
      <c r="D6" s="1050"/>
      <c r="E6" s="1047"/>
      <c r="F6" s="1047"/>
      <c r="G6" s="1047"/>
      <c r="H6" s="1047"/>
      <c r="I6" s="1047"/>
      <c r="J6" s="1047"/>
      <c r="K6" s="1047"/>
      <c r="L6" s="1047"/>
      <c r="M6" s="1047"/>
      <c r="N6" s="1047"/>
      <c r="O6" s="655"/>
      <c r="P6" s="41"/>
      <c r="Q6" s="41"/>
    </row>
    <row r="7" spans="1:19" ht="36.75" customHeight="1" x14ac:dyDescent="0.2">
      <c r="A7" s="955"/>
      <c r="B7" s="426" t="s">
        <v>313</v>
      </c>
      <c r="C7" s="426" t="s">
        <v>62</v>
      </c>
      <c r="D7" s="426" t="s">
        <v>63</v>
      </c>
      <c r="E7" s="1047"/>
      <c r="F7" s="1047"/>
      <c r="G7" s="1047"/>
      <c r="H7" s="1047"/>
      <c r="I7" s="1047"/>
      <c r="J7" s="1047"/>
      <c r="K7" s="1047"/>
      <c r="L7" s="1047"/>
      <c r="M7" s="1047"/>
      <c r="N7" s="1047"/>
      <c r="O7" s="655"/>
      <c r="P7" s="41"/>
      <c r="Q7" s="41"/>
    </row>
    <row r="8" spans="1:19" ht="30" customHeight="1" x14ac:dyDescent="0.2">
      <c r="A8" s="955"/>
      <c r="B8" s="790">
        <v>75</v>
      </c>
      <c r="C8" s="607">
        <v>2.5000000000000001E-2</v>
      </c>
      <c r="D8" s="429">
        <f t="shared" ref="D8:D15" si="0">C8*$C$17</f>
        <v>3467532.0827268544</v>
      </c>
      <c r="E8" s="1047"/>
      <c r="F8" s="1047"/>
      <c r="G8" s="1047"/>
      <c r="H8" s="1047"/>
      <c r="I8" s="1047"/>
      <c r="J8" s="1047"/>
      <c r="K8" s="1047"/>
      <c r="L8" s="1047"/>
      <c r="M8" s="1047"/>
      <c r="N8" s="1047"/>
      <c r="O8" s="655"/>
      <c r="P8" s="41"/>
      <c r="Q8" s="41"/>
    </row>
    <row r="9" spans="1:19" ht="30" customHeight="1" x14ac:dyDescent="0.2">
      <c r="A9" s="955"/>
      <c r="B9" s="790">
        <v>85</v>
      </c>
      <c r="C9" s="607">
        <v>3.5000000000000003E-2</v>
      </c>
      <c r="D9" s="429">
        <f t="shared" si="0"/>
        <v>4854544.915817596</v>
      </c>
      <c r="E9" s="1047"/>
      <c r="F9" s="1047"/>
      <c r="G9" s="1047"/>
      <c r="H9" s="1047"/>
      <c r="I9" s="1047"/>
      <c r="J9" s="1047"/>
      <c r="K9" s="1047"/>
      <c r="L9" s="1047"/>
      <c r="M9" s="1047"/>
      <c r="N9" s="1047"/>
      <c r="O9" s="655"/>
      <c r="P9" s="41"/>
      <c r="Q9" s="149"/>
    </row>
    <row r="10" spans="1:19" ht="30" customHeight="1" x14ac:dyDescent="0.2">
      <c r="A10" s="955"/>
      <c r="B10" s="790">
        <v>95</v>
      </c>
      <c r="C10" s="607">
        <v>4.4999999999999998E-2</v>
      </c>
      <c r="D10" s="429">
        <f t="shared" si="0"/>
        <v>6241557.7489083372</v>
      </c>
      <c r="E10" s="1047"/>
      <c r="F10" s="1047"/>
      <c r="G10" s="1047"/>
      <c r="H10" s="1047"/>
      <c r="I10" s="1047"/>
      <c r="J10" s="1047"/>
      <c r="K10" s="1047"/>
      <c r="L10" s="1047"/>
      <c r="M10" s="1047"/>
      <c r="N10" s="1047"/>
      <c r="O10" s="655"/>
      <c r="P10" s="41"/>
      <c r="Q10" s="41"/>
    </row>
    <row r="11" spans="1:19" ht="30" customHeight="1" x14ac:dyDescent="0.2">
      <c r="A11" s="955"/>
      <c r="B11" s="430">
        <v>100</v>
      </c>
      <c r="C11" s="431">
        <v>0.05</v>
      </c>
      <c r="D11" s="432">
        <f t="shared" si="0"/>
        <v>6935064.1654537087</v>
      </c>
      <c r="E11" s="1047"/>
      <c r="F11" s="1047"/>
      <c r="G11" s="1047"/>
      <c r="H11" s="1047"/>
      <c r="I11" s="1047"/>
      <c r="J11" s="1047"/>
      <c r="K11" s="1047"/>
      <c r="L11" s="1047"/>
      <c r="M11" s="1047"/>
      <c r="N11" s="1047"/>
      <c r="O11" s="655"/>
      <c r="P11" s="41"/>
      <c r="Q11" s="41"/>
    </row>
    <row r="12" spans="1:19" ht="30" customHeight="1" x14ac:dyDescent="0.2">
      <c r="A12" s="955"/>
      <c r="B12" s="790">
        <v>105</v>
      </c>
      <c r="C12" s="792">
        <v>5.2900000000000003E-2</v>
      </c>
      <c r="D12" s="429">
        <f t="shared" si="0"/>
        <v>7337297.8870500233</v>
      </c>
      <c r="E12" s="1047"/>
      <c r="F12" s="1047"/>
      <c r="G12" s="1047"/>
      <c r="H12" s="1047"/>
      <c r="I12" s="1047"/>
      <c r="J12" s="1047"/>
      <c r="K12" s="1047"/>
      <c r="L12" s="1047"/>
      <c r="M12" s="1047"/>
      <c r="N12" s="1047"/>
      <c r="O12" s="655"/>
      <c r="P12" s="41"/>
      <c r="Q12" s="41"/>
    </row>
    <row r="13" spans="1:19" ht="29.25" customHeight="1" x14ac:dyDescent="0.2">
      <c r="A13" s="955"/>
      <c r="B13" s="790">
        <v>115</v>
      </c>
      <c r="C13" s="792">
        <v>5.8599999999999999E-2</v>
      </c>
      <c r="D13" s="429">
        <f t="shared" si="0"/>
        <v>8127895.2019117456</v>
      </c>
      <c r="E13" s="1047"/>
      <c r="F13" s="1047"/>
      <c r="G13" s="1047"/>
      <c r="H13" s="1047"/>
      <c r="I13" s="1047"/>
      <c r="J13" s="1047"/>
      <c r="K13" s="1047"/>
      <c r="L13" s="1047"/>
      <c r="M13" s="1047"/>
      <c r="N13" s="1047"/>
      <c r="O13" s="655"/>
      <c r="P13" s="41"/>
      <c r="Q13" s="41"/>
    </row>
    <row r="14" spans="1:19" ht="30" customHeight="1" x14ac:dyDescent="0.2">
      <c r="A14" s="955"/>
      <c r="B14" s="790">
        <v>125</v>
      </c>
      <c r="C14" s="792">
        <v>6.4299999999999996E-2</v>
      </c>
      <c r="D14" s="429">
        <f t="shared" si="0"/>
        <v>8918492.5167734679</v>
      </c>
      <c r="E14" s="1047"/>
      <c r="F14" s="1047"/>
      <c r="G14" s="1047"/>
      <c r="H14" s="1047"/>
      <c r="I14" s="1047"/>
      <c r="J14" s="1047"/>
      <c r="K14" s="1047"/>
      <c r="L14" s="1047"/>
      <c r="M14" s="1047"/>
      <c r="N14" s="1047"/>
      <c r="O14" s="655"/>
      <c r="P14" s="41"/>
      <c r="Q14" s="41"/>
    </row>
    <row r="15" spans="1:19" ht="30" customHeight="1" x14ac:dyDescent="0.2">
      <c r="A15" s="955"/>
      <c r="B15" s="790">
        <v>135</v>
      </c>
      <c r="C15" s="792">
        <v>7.0000000000000007E-2</v>
      </c>
      <c r="D15" s="429">
        <f t="shared" si="0"/>
        <v>9709089.831635192</v>
      </c>
      <c r="E15" s="1047"/>
      <c r="F15" s="1047"/>
      <c r="G15" s="1047"/>
      <c r="H15" s="1047"/>
      <c r="I15" s="1047"/>
      <c r="J15" s="1047"/>
      <c r="K15" s="1047"/>
      <c r="L15" s="1047"/>
      <c r="M15" s="1047"/>
      <c r="N15" s="1047"/>
      <c r="O15" s="655"/>
      <c r="P15" s="41"/>
      <c r="Q15" s="41"/>
    </row>
    <row r="16" spans="1:19" ht="25.5" customHeight="1" x14ac:dyDescent="0.2">
      <c r="A16" s="955"/>
      <c r="B16" s="656" t="s">
        <v>88</v>
      </c>
      <c r="C16" s="1086" t="s">
        <v>13</v>
      </c>
      <c r="D16" s="918"/>
      <c r="E16" s="1047"/>
      <c r="F16" s="1047"/>
      <c r="G16" s="1047"/>
      <c r="H16" s="1047"/>
      <c r="I16" s="1047"/>
      <c r="J16" s="1047"/>
      <c r="K16" s="1047"/>
      <c r="L16" s="1047"/>
      <c r="M16" s="1047"/>
      <c r="N16" s="1047"/>
      <c r="O16" s="655"/>
      <c r="P16" s="41"/>
      <c r="Q16" s="41"/>
    </row>
    <row r="17" spans="1:20" s="58" customFormat="1" ht="36" customHeight="1" x14ac:dyDescent="0.25">
      <c r="A17" s="955"/>
      <c r="B17" s="436" t="s">
        <v>2</v>
      </c>
      <c r="C17" s="437">
        <f>'ES CT Electric Table A  '!Q54-'ES CT Electric Table A  '!Q47-'ES CT Electric Table A  '!Q46-'ES CT Electric Table A  '!Q45-'ES CT Electric Table A  '!Q43</f>
        <v>138701283.30907416</v>
      </c>
      <c r="D17" s="433"/>
      <c r="E17" s="1047"/>
      <c r="F17" s="1047"/>
      <c r="G17" s="1047"/>
      <c r="H17" s="1047"/>
      <c r="I17" s="1047"/>
      <c r="J17" s="1047"/>
      <c r="K17" s="1047"/>
      <c r="L17" s="1047"/>
      <c r="M17" s="1047"/>
      <c r="N17" s="1047"/>
      <c r="O17" s="655"/>
    </row>
    <row r="18" spans="1:20" ht="19.5" customHeight="1" x14ac:dyDescent="0.2">
      <c r="A18" s="955"/>
      <c r="B18" s="1048" t="s">
        <v>319</v>
      </c>
      <c r="C18" s="1048"/>
      <c r="D18" s="1048"/>
      <c r="E18" s="1047"/>
      <c r="F18" s="1047"/>
      <c r="G18" s="1047"/>
      <c r="H18" s="1047"/>
      <c r="I18" s="1047"/>
      <c r="J18" s="1047"/>
      <c r="K18" s="1047"/>
      <c r="L18" s="1047"/>
      <c r="M18" s="1047"/>
      <c r="N18" s="1047"/>
      <c r="O18" s="655"/>
      <c r="P18" s="41"/>
      <c r="Q18" s="41"/>
    </row>
    <row r="19" spans="1:20" ht="19.5" customHeight="1" x14ac:dyDescent="0.2">
      <c r="A19" s="955"/>
      <c r="B19" s="1048"/>
      <c r="C19" s="1048"/>
      <c r="D19" s="1048"/>
      <c r="E19" s="1047"/>
      <c r="F19" s="1047"/>
      <c r="G19" s="1047"/>
      <c r="H19" s="1047"/>
      <c r="I19" s="1047"/>
      <c r="J19" s="1047"/>
      <c r="K19" s="1047"/>
      <c r="L19" s="1047"/>
      <c r="M19" s="1047"/>
      <c r="N19" s="1047"/>
      <c r="O19" s="655"/>
      <c r="P19" s="41"/>
      <c r="Q19" s="41"/>
    </row>
    <row r="20" spans="1:20" ht="19.5" customHeight="1" x14ac:dyDescent="0.2">
      <c r="A20" s="955"/>
      <c r="B20" s="1048"/>
      <c r="C20" s="1048"/>
      <c r="D20" s="1048"/>
      <c r="E20" s="1047"/>
      <c r="F20" s="1047"/>
      <c r="G20" s="1047"/>
      <c r="H20" s="1047"/>
      <c r="I20" s="1047"/>
      <c r="J20" s="1047"/>
      <c r="K20" s="1047"/>
      <c r="L20" s="1047"/>
      <c r="M20" s="1047"/>
      <c r="N20" s="1047"/>
      <c r="O20" s="655"/>
      <c r="P20" s="41"/>
      <c r="Q20" s="41"/>
    </row>
    <row r="21" spans="1:20" ht="7.5" customHeight="1" x14ac:dyDescent="0.2">
      <c r="A21" s="955"/>
      <c r="B21" s="1048"/>
      <c r="C21" s="1048"/>
      <c r="D21" s="1048"/>
      <c r="E21" s="1047"/>
      <c r="F21" s="1047"/>
      <c r="G21" s="1047"/>
      <c r="H21" s="1047"/>
      <c r="I21" s="1047"/>
      <c r="J21" s="1047"/>
      <c r="K21" s="1047"/>
      <c r="L21" s="1047"/>
      <c r="M21" s="1047"/>
      <c r="N21" s="1047"/>
      <c r="O21" s="655"/>
      <c r="P21" s="41"/>
      <c r="Q21" s="41"/>
    </row>
    <row r="22" spans="1:20" ht="12" hidden="1" customHeight="1" x14ac:dyDescent="0.2">
      <c r="A22" s="955"/>
      <c r="B22" s="1048"/>
      <c r="C22" s="1048"/>
      <c r="D22" s="1048"/>
      <c r="E22" s="1047"/>
      <c r="F22" s="1047"/>
      <c r="G22" s="1047"/>
      <c r="H22" s="1047"/>
      <c r="I22" s="1047"/>
      <c r="J22" s="1047"/>
      <c r="K22" s="1047"/>
      <c r="L22" s="1047"/>
      <c r="M22" s="1047"/>
      <c r="N22" s="1047"/>
      <c r="O22" s="655"/>
      <c r="P22" s="41"/>
      <c r="Q22" s="41"/>
    </row>
    <row r="23" spans="1:20" ht="43.5" hidden="1" customHeight="1" x14ac:dyDescent="0.2">
      <c r="A23" s="955"/>
      <c r="B23" s="1048"/>
      <c r="C23" s="1048"/>
      <c r="D23" s="1048"/>
      <c r="E23" s="1047"/>
      <c r="F23" s="1047"/>
      <c r="G23" s="1047"/>
      <c r="H23" s="1047"/>
      <c r="I23" s="1047"/>
      <c r="J23" s="1047"/>
      <c r="K23" s="1047"/>
      <c r="L23" s="1047"/>
      <c r="M23" s="1047"/>
      <c r="N23" s="1047"/>
      <c r="O23" s="655"/>
      <c r="P23" s="41"/>
      <c r="Q23" s="41"/>
    </row>
    <row r="24" spans="1:20" ht="18.75" hidden="1" customHeight="1" x14ac:dyDescent="0.2">
      <c r="A24" s="955"/>
      <c r="B24" s="1048"/>
      <c r="C24" s="1048"/>
      <c r="D24" s="1048"/>
      <c r="E24" s="1047"/>
      <c r="F24" s="1047"/>
      <c r="G24" s="1047"/>
      <c r="H24" s="1047"/>
      <c r="I24" s="1047"/>
      <c r="J24" s="1047"/>
      <c r="K24" s="1047"/>
      <c r="L24" s="1047"/>
      <c r="M24" s="1047"/>
      <c r="N24" s="1047"/>
      <c r="O24" s="655"/>
      <c r="P24" s="41"/>
      <c r="Q24" s="41"/>
    </row>
    <row r="25" spans="1:20" ht="21" customHeight="1" thickBot="1" x14ac:dyDescent="0.25">
      <c r="B25" s="41"/>
      <c r="C25" s="41"/>
      <c r="D25" s="41"/>
      <c r="E25" s="41"/>
      <c r="F25" s="41"/>
      <c r="G25" s="41"/>
      <c r="H25" s="41"/>
      <c r="I25" s="41"/>
      <c r="J25" s="41"/>
      <c r="K25" s="41"/>
      <c r="L25" s="41"/>
      <c r="M25" s="655"/>
      <c r="P25" s="41"/>
      <c r="Q25" s="41"/>
    </row>
    <row r="26" spans="1:20" ht="19.5" customHeight="1" thickBot="1" x14ac:dyDescent="0.25">
      <c r="A26" s="955"/>
      <c r="B26" s="1052" t="s">
        <v>64</v>
      </c>
      <c r="C26" s="1052"/>
      <c r="D26" s="1051" t="s">
        <v>65</v>
      </c>
      <c r="E26" s="1051"/>
      <c r="F26" s="1051"/>
      <c r="G26" s="1051"/>
      <c r="H26" s="1051"/>
      <c r="I26" s="1051"/>
      <c r="J26" s="658"/>
      <c r="K26" s="1052" t="s">
        <v>66</v>
      </c>
      <c r="L26" s="1052"/>
      <c r="M26" s="1052"/>
      <c r="N26" s="1052"/>
      <c r="O26" s="618"/>
      <c r="P26" s="41"/>
      <c r="Q26" s="41"/>
    </row>
    <row r="27" spans="1:20" ht="31.5" customHeight="1" thickBot="1" x14ac:dyDescent="0.25">
      <c r="A27" s="955"/>
      <c r="B27" s="1052"/>
      <c r="C27" s="1052"/>
      <c r="D27" s="1051"/>
      <c r="E27" s="1051"/>
      <c r="F27" s="1051"/>
      <c r="G27" s="1051"/>
      <c r="H27" s="1051"/>
      <c r="I27" s="1051"/>
      <c r="J27" s="658"/>
      <c r="K27" s="658" t="s">
        <v>67</v>
      </c>
      <c r="L27" s="658" t="s">
        <v>68</v>
      </c>
      <c r="M27" s="658" t="s">
        <v>69</v>
      </c>
      <c r="N27" s="461" t="s">
        <v>70</v>
      </c>
      <c r="O27" s="619"/>
      <c r="P27" s="41"/>
      <c r="Q27" s="41"/>
    </row>
    <row r="28" spans="1:20" ht="19.5" customHeight="1" thickBot="1" x14ac:dyDescent="0.25">
      <c r="A28" s="955"/>
      <c r="B28" s="1059"/>
      <c r="C28" s="1059"/>
      <c r="D28" s="1059"/>
      <c r="E28" s="1059"/>
      <c r="F28" s="1059"/>
      <c r="G28" s="1059"/>
      <c r="H28" s="1059"/>
      <c r="I28" s="1059"/>
      <c r="J28" s="1059"/>
      <c r="K28" s="1059"/>
      <c r="L28" s="1059"/>
      <c r="M28" s="1059"/>
      <c r="N28" s="1059"/>
      <c r="O28" s="620"/>
      <c r="P28" s="41"/>
      <c r="Q28" s="41"/>
    </row>
    <row r="29" spans="1:20" ht="17.25" customHeight="1" x14ac:dyDescent="0.2">
      <c r="A29" s="955"/>
      <c r="B29" s="1060" t="s">
        <v>15</v>
      </c>
      <c r="C29" s="1060"/>
      <c r="D29" s="1034" t="s">
        <v>71</v>
      </c>
      <c r="E29" s="1034" t="s">
        <v>72</v>
      </c>
      <c r="F29" s="1034"/>
      <c r="G29" s="1034" t="s">
        <v>73</v>
      </c>
      <c r="H29" s="1034"/>
      <c r="I29" s="1036" t="s">
        <v>430</v>
      </c>
      <c r="J29" s="660" t="s">
        <v>431</v>
      </c>
      <c r="K29" s="1039"/>
      <c r="L29" s="1039"/>
      <c r="M29" s="1039"/>
      <c r="N29" s="1041"/>
      <c r="O29" s="621"/>
      <c r="P29" s="41"/>
      <c r="Q29" s="41"/>
    </row>
    <row r="30" spans="1:20" ht="18.75" customHeight="1" thickBot="1" x14ac:dyDescent="0.25">
      <c r="A30" s="955"/>
      <c r="B30" s="1061"/>
      <c r="C30" s="1061"/>
      <c r="D30" s="1035"/>
      <c r="E30" s="1035"/>
      <c r="F30" s="1035"/>
      <c r="G30" s="1035"/>
      <c r="H30" s="1035"/>
      <c r="I30" s="1037"/>
      <c r="J30" s="661"/>
      <c r="K30" s="1040"/>
      <c r="L30" s="1040"/>
      <c r="M30" s="1040"/>
      <c r="N30" s="1042"/>
      <c r="O30" s="621"/>
      <c r="P30" s="41"/>
      <c r="Q30" s="41"/>
      <c r="T30" s="41"/>
    </row>
    <row r="31" spans="1:20" ht="19.5" customHeight="1" thickBot="1" x14ac:dyDescent="0.25">
      <c r="A31" s="955"/>
      <c r="B31" s="973" t="s">
        <v>314</v>
      </c>
      <c r="C31" s="970">
        <f>'ES CT Electric Table A  '!Q16/1000</f>
        <v>57301.970700000005</v>
      </c>
      <c r="D31" s="1088"/>
      <c r="E31" s="1089"/>
      <c r="F31" s="1089"/>
      <c r="G31" s="1089"/>
      <c r="H31" s="1089"/>
      <c r="I31" s="1089"/>
      <c r="J31" s="1090"/>
      <c r="K31" s="1014" t="s">
        <v>471</v>
      </c>
      <c r="L31" s="1137" t="s">
        <v>472</v>
      </c>
      <c r="M31" s="1071">
        <v>0.2099</v>
      </c>
      <c r="N31" s="1043">
        <f>$D$11*M31</f>
        <v>1455669.9683287335</v>
      </c>
      <c r="O31" s="622"/>
      <c r="P31" s="41"/>
      <c r="Q31" s="41"/>
    </row>
    <row r="32" spans="1:20" ht="3.75" customHeight="1" thickBot="1" x14ac:dyDescent="0.25">
      <c r="A32" s="955"/>
      <c r="B32" s="973"/>
      <c r="C32" s="970"/>
      <c r="D32" s="1091"/>
      <c r="E32" s="1092"/>
      <c r="F32" s="1092"/>
      <c r="G32" s="1092"/>
      <c r="H32" s="1092"/>
      <c r="I32" s="1092"/>
      <c r="J32" s="1093"/>
      <c r="K32" s="1014"/>
      <c r="L32" s="1138"/>
      <c r="M32" s="1071"/>
      <c r="N32" s="1043"/>
      <c r="O32" s="622"/>
      <c r="P32" s="41"/>
      <c r="Q32" s="41"/>
    </row>
    <row r="33" spans="1:20" ht="18.75" customHeight="1" thickBot="1" x14ac:dyDescent="0.3">
      <c r="A33" s="955"/>
      <c r="B33" s="973"/>
      <c r="C33" s="970"/>
      <c r="D33" s="441" t="s">
        <v>96</v>
      </c>
      <c r="E33" s="997">
        <f>'2014-24 ESCTETable D3-lftimekWh'!P8*1000</f>
        <v>54206241.104304075</v>
      </c>
      <c r="F33" s="997"/>
      <c r="G33" s="1038">
        <f>'2014-24 ES CT E Table D1-kW'!P8</f>
        <v>651.66487629281016</v>
      </c>
      <c r="H33" s="1038"/>
      <c r="I33" s="638">
        <f>'[18]Eversource Elect_Table_B'!U61</f>
        <v>81467.937149783684</v>
      </c>
      <c r="J33" s="638">
        <f>'[18]Eversource Elect_Table_B'!W61</f>
        <v>0</v>
      </c>
      <c r="K33" s="1014"/>
      <c r="L33" s="1138"/>
      <c r="M33" s="1071"/>
      <c r="N33" s="1043"/>
      <c r="O33" s="629"/>
      <c r="P33" s="613"/>
      <c r="Q33" s="156"/>
      <c r="R33" s="37"/>
      <c r="S33" s="70"/>
      <c r="T33" s="37"/>
    </row>
    <row r="34" spans="1:20" ht="37.5" customHeight="1" thickBot="1" x14ac:dyDescent="0.3">
      <c r="A34" s="955"/>
      <c r="B34" s="973"/>
      <c r="C34" s="970"/>
      <c r="D34" s="441" t="s">
        <v>75</v>
      </c>
      <c r="E34" s="997">
        <f>'2014-24 ESCTETable D3-lftimekWh'!P9*1000</f>
        <v>51704087.011714973</v>
      </c>
      <c r="F34" s="997"/>
      <c r="G34" s="1038">
        <f>'2014-24 ES CT E Table D1-kW'!P9</f>
        <v>304.73811841967159</v>
      </c>
      <c r="H34" s="1038"/>
      <c r="I34" s="638">
        <f>'[18]Eversource Elect_Table_B'!U62</f>
        <v>0</v>
      </c>
      <c r="J34" s="638">
        <f>'[18]Eversource Elect_Table_B'!W62</f>
        <v>522547.50056258193</v>
      </c>
      <c r="K34" s="1014"/>
      <c r="L34" s="1139"/>
      <c r="M34" s="1071"/>
      <c r="N34" s="1043"/>
      <c r="O34" s="629"/>
      <c r="P34" s="613"/>
      <c r="Q34" s="156"/>
      <c r="R34" s="37"/>
      <c r="S34" s="70"/>
      <c r="T34" s="37"/>
    </row>
    <row r="35" spans="1:20" ht="34.5" customHeight="1" thickBot="1" x14ac:dyDescent="0.3">
      <c r="A35" s="955"/>
      <c r="B35" s="973"/>
      <c r="C35" s="970"/>
      <c r="D35" s="441" t="s">
        <v>109</v>
      </c>
      <c r="E35" s="997">
        <f>'2014-24 ESCTETable D3-lftimekWh'!P10*1000</f>
        <v>56113249.201680534</v>
      </c>
      <c r="F35" s="997"/>
      <c r="G35" s="1038">
        <f>'2014-24 ES CT E Table D1-kW'!P10</f>
        <v>1263.294449006577</v>
      </c>
      <c r="H35" s="1038"/>
      <c r="I35" s="638">
        <f>'[18]Eversource Elect_Table_B'!U63</f>
        <v>7672428.686119522</v>
      </c>
      <c r="J35" s="638">
        <f>'[18]Eversource Elect_Table_B'!W63</f>
        <v>750687.59869645163</v>
      </c>
      <c r="K35" s="1014"/>
      <c r="L35" s="1056">
        <f>E43+G43+I43+J43</f>
        <v>162242160.50750977</v>
      </c>
      <c r="M35" s="1071"/>
      <c r="N35" s="1043"/>
      <c r="O35" s="629"/>
      <c r="P35" s="613"/>
      <c r="Q35" s="156"/>
      <c r="R35" s="37"/>
      <c r="S35" s="70"/>
      <c r="T35" s="37"/>
    </row>
    <row r="36" spans="1:20" ht="42" customHeight="1" thickBot="1" x14ac:dyDescent="0.3">
      <c r="A36" s="955"/>
      <c r="B36" s="973"/>
      <c r="C36" s="970"/>
      <c r="D36" s="754" t="s">
        <v>521</v>
      </c>
      <c r="E36" s="997">
        <f>'2014-24 ESCTETable D3-lftimekWh'!P11*1000</f>
        <v>-48525122.280474119</v>
      </c>
      <c r="F36" s="997"/>
      <c r="G36" s="1038">
        <f>'2014-24 ES CT E Table D1-kW'!P11</f>
        <v>614.2059862611552</v>
      </c>
      <c r="H36" s="1038"/>
      <c r="I36" s="638">
        <f>'[18]Eversource Elect_Table_B'!U64</f>
        <v>11322928.678333247</v>
      </c>
      <c r="J36" s="638">
        <f>'[18]Eversource Elect_Table_B'!W64</f>
        <v>3885370.6743762321</v>
      </c>
      <c r="K36" s="1014"/>
      <c r="L36" s="1057"/>
      <c r="M36" s="1071"/>
      <c r="N36" s="1043"/>
      <c r="O36" s="629"/>
      <c r="P36" s="613"/>
      <c r="Q36" s="156"/>
      <c r="R36" s="37"/>
      <c r="S36" s="70"/>
      <c r="T36" s="37"/>
    </row>
    <row r="37" spans="1:20" ht="41.25" customHeight="1" thickBot="1" x14ac:dyDescent="0.3">
      <c r="A37" s="955"/>
      <c r="B37" s="973"/>
      <c r="C37" s="970"/>
      <c r="D37" s="441" t="s">
        <v>320</v>
      </c>
      <c r="E37" s="997">
        <f>'2014-24 ESCTETable D3-lftimekWh'!P12*1000</f>
        <v>28405784.203310303</v>
      </c>
      <c r="F37" s="997"/>
      <c r="G37" s="1038">
        <f>'2014-24 ES CT E Table D1-kW'!P12</f>
        <v>256.28787956783577</v>
      </c>
      <c r="H37" s="1038"/>
      <c r="I37" s="638">
        <f>'[18]Eversource Elect_Table_B'!U65</f>
        <v>3621035.5145732509</v>
      </c>
      <c r="J37" s="638">
        <f>'[18]Eversource Elect_Table_B'!W65</f>
        <v>310786.12846642616</v>
      </c>
      <c r="K37" s="1014"/>
      <c r="L37" s="1057"/>
      <c r="M37" s="1071"/>
      <c r="N37" s="1043"/>
      <c r="O37" s="629"/>
      <c r="P37" s="613"/>
      <c r="Q37" s="156"/>
      <c r="R37" s="37"/>
      <c r="S37" s="70"/>
      <c r="T37" s="37"/>
    </row>
    <row r="38" spans="1:20" ht="24.75" customHeight="1" thickBot="1" x14ac:dyDescent="0.3">
      <c r="A38" s="955"/>
      <c r="B38" s="973"/>
      <c r="C38" s="970"/>
      <c r="D38" s="441" t="s">
        <v>218</v>
      </c>
      <c r="E38" s="997">
        <f>'2014-24 ESCTETable D3-lftimekWh'!P13*1000</f>
        <v>1430000</v>
      </c>
      <c r="F38" s="997"/>
      <c r="G38" s="1038">
        <f>'2014-24 ES CT E Table D1-kW'!P13</f>
        <v>81.621004566210047</v>
      </c>
      <c r="H38" s="1038"/>
      <c r="I38" s="638">
        <f>'[18]Eversource Elect_Table_B'!U66</f>
        <v>0</v>
      </c>
      <c r="J38" s="638">
        <f>'[18]Eversource Elect_Table_B'!W66</f>
        <v>0</v>
      </c>
      <c r="K38" s="1014"/>
      <c r="L38" s="1057"/>
      <c r="M38" s="1071"/>
      <c r="N38" s="1043"/>
      <c r="O38" s="629"/>
      <c r="P38" s="613"/>
      <c r="Q38" s="156"/>
      <c r="R38" s="37"/>
      <c r="S38" s="70"/>
      <c r="T38" s="37"/>
    </row>
    <row r="39" spans="1:20" ht="18.75" customHeight="1" thickBot="1" x14ac:dyDescent="0.25">
      <c r="A39" s="955"/>
      <c r="B39" s="973"/>
      <c r="C39" s="970"/>
      <c r="D39" s="973"/>
      <c r="E39" s="973"/>
      <c r="F39" s="973"/>
      <c r="G39" s="973"/>
      <c r="H39" s="973"/>
      <c r="I39" s="973"/>
      <c r="J39" s="647"/>
      <c r="K39" s="1014"/>
      <c r="L39" s="1057"/>
      <c r="M39" s="1071"/>
      <c r="N39" s="1043"/>
      <c r="O39" s="622"/>
      <c r="P39" s="41"/>
      <c r="Q39" s="611"/>
      <c r="R39" s="612"/>
      <c r="S39" s="611"/>
      <c r="T39" s="612"/>
    </row>
    <row r="40" spans="1:20" ht="18.75" customHeight="1" thickBot="1" x14ac:dyDescent="0.3">
      <c r="A40" s="955"/>
      <c r="B40" s="973"/>
      <c r="C40" s="970"/>
      <c r="D40" s="441" t="s">
        <v>76</v>
      </c>
      <c r="E40" s="998">
        <f>ROUND(SUM(E33:E38),0)</f>
        <v>143334239</v>
      </c>
      <c r="F40" s="998"/>
      <c r="G40" s="998">
        <f>ROUND(SUM(G33:G38),0)</f>
        <v>3172</v>
      </c>
      <c r="H40" s="998"/>
      <c r="I40" s="638">
        <f>SUM(I33:I38)</f>
        <v>22697860.816175804</v>
      </c>
      <c r="J40" s="638">
        <f>SUM(J33:J38)</f>
        <v>5469391.9021016918</v>
      </c>
      <c r="K40" s="1014"/>
      <c r="L40" s="1057"/>
      <c r="M40" s="1071"/>
      <c r="N40" s="1043"/>
      <c r="O40" s="622"/>
      <c r="P40" s="41"/>
      <c r="Q40" s="41"/>
      <c r="R40" s="614"/>
      <c r="S40" s="41"/>
      <c r="T40" s="614"/>
    </row>
    <row r="41" spans="1:20" ht="18.75" customHeight="1" thickBot="1" x14ac:dyDescent="0.25">
      <c r="A41" s="955"/>
      <c r="B41" s="973"/>
      <c r="C41" s="970"/>
      <c r="D41" s="973"/>
      <c r="E41" s="973"/>
      <c r="F41" s="973"/>
      <c r="G41" s="973"/>
      <c r="H41" s="973"/>
      <c r="I41" s="973"/>
      <c r="J41" s="647"/>
      <c r="K41" s="1014"/>
      <c r="L41" s="1057"/>
      <c r="M41" s="1071"/>
      <c r="N41" s="1043"/>
      <c r="O41" s="622"/>
      <c r="P41" s="41"/>
      <c r="Q41" s="41"/>
    </row>
    <row r="42" spans="1:20" ht="18.75" thickBot="1" x14ac:dyDescent="0.3">
      <c r="A42" s="955"/>
      <c r="B42" s="973"/>
      <c r="C42" s="970"/>
      <c r="D42" s="441" t="s">
        <v>77</v>
      </c>
      <c r="E42" s="689">
        <f>E43/E40</f>
        <v>0.11856015327316075</v>
      </c>
      <c r="F42" s="676" t="s">
        <v>4</v>
      </c>
      <c r="G42" s="690">
        <f>G43/G40</f>
        <v>2998.3886248704662</v>
      </c>
      <c r="H42" s="677" t="s">
        <v>5</v>
      </c>
      <c r="I42" s="630">
        <f>I43/I40</f>
        <v>5.1248803354992809</v>
      </c>
      <c r="J42" s="630">
        <f>J43/J40</f>
        <v>3.5495210869986744</v>
      </c>
      <c r="K42" s="1014"/>
      <c r="L42" s="1057"/>
      <c r="M42" s="1071"/>
      <c r="N42" s="1043"/>
      <c r="O42" s="622"/>
      <c r="P42" s="41"/>
      <c r="Q42" s="609"/>
      <c r="R42" s="610"/>
    </row>
    <row r="43" spans="1:20" ht="21" customHeight="1" thickBot="1" x14ac:dyDescent="0.3">
      <c r="A43" s="955"/>
      <c r="B43" s="973"/>
      <c r="C43" s="970"/>
      <c r="D43" s="440" t="s">
        <v>216</v>
      </c>
      <c r="E43" s="1094">
        <f>'[18]Eversource Elect_Table_B'!$BQ$67</f>
        <v>16993729.345131855</v>
      </c>
      <c r="F43" s="1094"/>
      <c r="G43" s="1094">
        <f>'[18]Eversource Elect_Table_B'!$BY$67</f>
        <v>9510888.7180891186</v>
      </c>
      <c r="H43" s="1094"/>
      <c r="I43" s="685">
        <f>'[18]Eversource Elect_Table_B'!$CC$67</f>
        <v>116323820.55471903</v>
      </c>
      <c r="J43" s="685">
        <f>'[18]Eversource Elect_Table_B'!$CD$67</f>
        <v>19413721.889569744</v>
      </c>
      <c r="K43" s="1014"/>
      <c r="L43" s="1057"/>
      <c r="M43" s="1071"/>
      <c r="N43" s="1043"/>
      <c r="O43" s="622"/>
      <c r="P43" s="41"/>
      <c r="Q43" s="41"/>
    </row>
    <row r="44" spans="1:20" ht="22.5" customHeight="1" thickBot="1" x14ac:dyDescent="0.25">
      <c r="A44" s="955"/>
      <c r="B44" s="973"/>
      <c r="C44" s="970"/>
      <c r="D44" s="1065"/>
      <c r="E44" s="1065"/>
      <c r="F44" s="1065"/>
      <c r="G44" s="1065"/>
      <c r="H44" s="1065"/>
      <c r="I44" s="1065"/>
      <c r="J44" s="652"/>
      <c r="K44" s="1014"/>
      <c r="L44" s="1058"/>
      <c r="M44" s="1071"/>
      <c r="N44" s="1043"/>
      <c r="O44" s="622"/>
      <c r="P44" s="41"/>
      <c r="Q44" s="41"/>
    </row>
    <row r="45" spans="1:20" ht="45" customHeight="1" thickBot="1" x14ac:dyDescent="0.25">
      <c r="A45" s="955"/>
      <c r="B45" s="664" t="s">
        <v>473</v>
      </c>
      <c r="C45" s="442"/>
      <c r="D45" s="1149" t="s">
        <v>543</v>
      </c>
      <c r="E45" s="1150"/>
      <c r="F45" s="1150"/>
      <c r="G45" s="1151"/>
      <c r="H45" s="1098">
        <f>L35-C31*1000</f>
        <v>104940189.80750977</v>
      </c>
      <c r="I45" s="1099"/>
      <c r="J45" s="651"/>
      <c r="K45" s="659"/>
      <c r="L45" s="646">
        <f>H45</f>
        <v>104940189.80750977</v>
      </c>
      <c r="M45" s="445">
        <v>0.2099</v>
      </c>
      <c r="N45" s="646">
        <f>$D$11*M45</f>
        <v>1455669.9683287335</v>
      </c>
      <c r="O45" s="623"/>
      <c r="P45" s="41"/>
      <c r="Q45" s="41"/>
      <c r="T45" s="37"/>
    </row>
    <row r="46" spans="1:20" ht="45" customHeight="1" thickBot="1" x14ac:dyDescent="0.25">
      <c r="A46" s="955"/>
      <c r="B46" s="976" t="s">
        <v>433</v>
      </c>
      <c r="C46" s="637">
        <f>'ES CT Electric Table A  '!Q24/1000</f>
        <v>3390.2000000000003</v>
      </c>
      <c r="D46" s="682" t="s">
        <v>434</v>
      </c>
      <c r="E46" s="681"/>
      <c r="F46" s="681"/>
      <c r="G46" s="681">
        <f>'2014-24 ES CT E Table D1-kW'!P23</f>
        <v>15869.150000000003</v>
      </c>
      <c r="H46" s="693" t="s">
        <v>73</v>
      </c>
      <c r="I46" s="651"/>
      <c r="J46" s="651"/>
      <c r="K46" s="659"/>
      <c r="L46" s="667"/>
      <c r="M46" s="445"/>
      <c r="N46" s="646"/>
      <c r="O46" s="623"/>
      <c r="P46" s="41"/>
      <c r="Q46" s="41"/>
      <c r="T46" s="37"/>
    </row>
    <row r="47" spans="1:20" ht="55.5" customHeight="1" thickBot="1" x14ac:dyDescent="0.25">
      <c r="A47" s="955"/>
      <c r="B47" s="978"/>
      <c r="C47" s="442"/>
      <c r="D47" s="681" t="s">
        <v>436</v>
      </c>
      <c r="E47" s="684">
        <f>'[18]Eversource Elect_Table_B'!$E$75*1000</f>
        <v>3622394.4172428828</v>
      </c>
      <c r="F47" s="684" t="s">
        <v>437</v>
      </c>
      <c r="G47" s="686">
        <f>E47/G46</f>
        <v>228.26644257839155</v>
      </c>
      <c r="H47" s="683" t="s">
        <v>438</v>
      </c>
      <c r="I47" s="672"/>
      <c r="J47" s="651"/>
      <c r="K47" s="670" t="s">
        <v>439</v>
      </c>
      <c r="L47" s="678">
        <f>E47</f>
        <v>3622394.4172428828</v>
      </c>
      <c r="M47" s="445">
        <v>4.4999999999999997E-3</v>
      </c>
      <c r="N47" s="646">
        <f>$D$11*M47</f>
        <v>31207.788744541685</v>
      </c>
      <c r="O47" s="623"/>
      <c r="P47" s="41"/>
      <c r="Q47" s="41"/>
      <c r="T47" s="37"/>
    </row>
    <row r="48" spans="1:20" ht="55.5" customHeight="1" thickBot="1" x14ac:dyDescent="0.25">
      <c r="A48" s="955"/>
      <c r="B48" s="653" t="s">
        <v>478</v>
      </c>
      <c r="C48" s="442"/>
      <c r="D48" s="1140" t="s">
        <v>469</v>
      </c>
      <c r="E48" s="1141"/>
      <c r="F48" s="1141"/>
      <c r="G48" s="1141"/>
      <c r="H48" s="688"/>
      <c r="I48" s="672">
        <f>E47-C46*1000</f>
        <v>232194.41724288231</v>
      </c>
      <c r="J48" s="651"/>
      <c r="K48" s="670" t="s">
        <v>470</v>
      </c>
      <c r="L48" s="678">
        <f>L47-C46*1000</f>
        <v>232194.41724288231</v>
      </c>
      <c r="M48" s="445">
        <v>4.4999999999999997E-3</v>
      </c>
      <c r="N48" s="646">
        <f>$D$11*M48</f>
        <v>31207.788744541685</v>
      </c>
      <c r="O48" s="623"/>
      <c r="P48" s="41"/>
      <c r="Q48" s="41"/>
      <c r="T48" s="37"/>
    </row>
    <row r="49" spans="1:17" ht="44.25" customHeight="1" thickBot="1" x14ac:dyDescent="0.3">
      <c r="A49" s="955"/>
      <c r="B49" s="1073" t="s">
        <v>109</v>
      </c>
      <c r="C49" s="979">
        <f>'ES CT Electric Table A  '!Q12/1000</f>
        <v>21190.5317</v>
      </c>
      <c r="D49" s="1045" t="s">
        <v>3</v>
      </c>
      <c r="E49" s="1045"/>
      <c r="F49" s="1045"/>
      <c r="G49" s="1062">
        <f>E35</f>
        <v>56113249.201680534</v>
      </c>
      <c r="H49" s="1062"/>
      <c r="I49" s="1080"/>
      <c r="J49" s="1100"/>
      <c r="K49" s="1081" t="s">
        <v>324</v>
      </c>
      <c r="L49" s="970"/>
      <c r="M49" s="1082"/>
      <c r="N49" s="970"/>
      <c r="O49" s="623"/>
      <c r="P49" s="41"/>
      <c r="Q49" s="41"/>
    </row>
    <row r="50" spans="1:17" ht="36.75" customHeight="1" thickBot="1" x14ac:dyDescent="0.3">
      <c r="A50" s="955"/>
      <c r="B50" s="1074"/>
      <c r="C50" s="980"/>
      <c r="D50" s="1045" t="s">
        <v>85</v>
      </c>
      <c r="E50" s="1045"/>
      <c r="F50" s="1045"/>
      <c r="G50" s="1062">
        <f>G35</f>
        <v>1263.294449006577</v>
      </c>
      <c r="H50" s="1062"/>
      <c r="I50" s="1080"/>
      <c r="J50" s="1101"/>
      <c r="K50" s="1081"/>
      <c r="L50" s="970"/>
      <c r="M50" s="1082"/>
      <c r="N50" s="970"/>
      <c r="O50" s="623"/>
      <c r="P50" s="41"/>
      <c r="Q50" s="41"/>
    </row>
    <row r="51" spans="1:17" ht="18.75" customHeight="1" thickBot="1" x14ac:dyDescent="0.25">
      <c r="A51" s="955"/>
      <c r="B51" s="1074"/>
      <c r="C51" s="980"/>
      <c r="D51" s="969" t="s">
        <v>444</v>
      </c>
      <c r="E51" s="969"/>
      <c r="F51" s="969"/>
      <c r="G51" s="969"/>
      <c r="H51" s="969"/>
      <c r="I51" s="969"/>
      <c r="J51" s="991"/>
      <c r="K51" s="969" t="s">
        <v>447</v>
      </c>
      <c r="L51" s="1083" t="s">
        <v>448</v>
      </c>
      <c r="M51" s="1079">
        <v>0.01</v>
      </c>
      <c r="N51" s="1044">
        <f>$D$11*M51</f>
        <v>69350.641654537088</v>
      </c>
      <c r="O51" s="624"/>
      <c r="P51" s="41"/>
      <c r="Q51" s="41"/>
    </row>
    <row r="52" spans="1:17" ht="19.5" customHeight="1" thickBot="1" x14ac:dyDescent="0.25">
      <c r="A52" s="955"/>
      <c r="B52" s="1074"/>
      <c r="C52" s="980"/>
      <c r="D52" s="969"/>
      <c r="E52" s="969"/>
      <c r="F52" s="969"/>
      <c r="G52" s="969"/>
      <c r="H52" s="969"/>
      <c r="I52" s="969"/>
      <c r="J52" s="1018"/>
      <c r="K52" s="969"/>
      <c r="L52" s="1083"/>
      <c r="M52" s="1079"/>
      <c r="N52" s="1044"/>
      <c r="O52" s="624"/>
      <c r="P52" s="41"/>
      <c r="Q52" s="41"/>
    </row>
    <row r="53" spans="1:17" s="155" customFormat="1" ht="74.25" customHeight="1" thickBot="1" x14ac:dyDescent="0.25">
      <c r="A53" s="955"/>
      <c r="B53" s="1074"/>
      <c r="C53" s="980"/>
      <c r="D53" s="969"/>
      <c r="E53" s="969"/>
      <c r="F53" s="969"/>
      <c r="G53" s="969"/>
      <c r="H53" s="969"/>
      <c r="I53" s="969"/>
      <c r="J53" s="1102"/>
      <c r="K53" s="969"/>
      <c r="L53" s="1083"/>
      <c r="M53" s="1079"/>
      <c r="N53" s="1044"/>
      <c r="O53" s="624"/>
      <c r="P53" s="153"/>
      <c r="Q53" s="154"/>
    </row>
    <row r="54" spans="1:17" s="155" customFormat="1" ht="114.75" customHeight="1" thickBot="1" x14ac:dyDescent="0.25">
      <c r="A54" s="955"/>
      <c r="B54" s="1074"/>
      <c r="C54" s="980"/>
      <c r="D54" s="1001" t="s">
        <v>445</v>
      </c>
      <c r="E54" s="1142"/>
      <c r="F54" s="1142"/>
      <c r="G54" s="1142"/>
      <c r="H54" s="1142"/>
      <c r="I54" s="1143"/>
      <c r="J54" s="642"/>
      <c r="K54" s="642" t="s">
        <v>449</v>
      </c>
      <c r="L54" s="650" t="s">
        <v>450</v>
      </c>
      <c r="M54" s="649">
        <v>0.01</v>
      </c>
      <c r="N54" s="644">
        <f>$D$11*M54</f>
        <v>69350.641654537088</v>
      </c>
      <c r="O54" s="624"/>
      <c r="P54" s="153"/>
      <c r="Q54" s="154"/>
    </row>
    <row r="55" spans="1:17" ht="95.25" customHeight="1" thickBot="1" x14ac:dyDescent="0.25">
      <c r="A55" s="955"/>
      <c r="B55" s="1075"/>
      <c r="C55" s="981"/>
      <c r="D55" s="969" t="s">
        <v>446</v>
      </c>
      <c r="E55" s="969"/>
      <c r="F55" s="969"/>
      <c r="G55" s="969"/>
      <c r="H55" s="969"/>
      <c r="I55" s="969"/>
      <c r="J55" s="642"/>
      <c r="K55" s="642" t="s">
        <v>331</v>
      </c>
      <c r="L55" s="650" t="s">
        <v>451</v>
      </c>
      <c r="M55" s="649">
        <v>0.01</v>
      </c>
      <c r="N55" s="644">
        <f>$D$11*M55</f>
        <v>69350.641654537088</v>
      </c>
      <c r="O55" s="624"/>
      <c r="P55" s="93"/>
      <c r="Q55" s="41"/>
    </row>
    <row r="56" spans="1:17" ht="55.5" customHeight="1" thickBot="1" x14ac:dyDescent="0.3">
      <c r="A56" s="1000"/>
      <c r="B56" s="973" t="s">
        <v>111</v>
      </c>
      <c r="C56" s="970">
        <f>'ES CT Electric Table A  '!Q11/1000</f>
        <v>3482.7860000000001</v>
      </c>
      <c r="D56" s="971" t="s">
        <v>3</v>
      </c>
      <c r="E56" s="971"/>
      <c r="F56" s="971"/>
      <c r="G56" s="972">
        <f>E34</f>
        <v>51704087.011714973</v>
      </c>
      <c r="H56" s="972"/>
      <c r="I56" s="971"/>
      <c r="J56" s="1026"/>
      <c r="K56" s="1032" t="s">
        <v>315</v>
      </c>
      <c r="L56" s="1068"/>
      <c r="M56" s="1068" t="s">
        <v>13</v>
      </c>
      <c r="N56" s="1044" t="s">
        <v>13</v>
      </c>
      <c r="O56" s="624"/>
      <c r="P56" s="41"/>
      <c r="Q56" s="41"/>
    </row>
    <row r="57" spans="1:17" ht="25.5" customHeight="1" thickBot="1" x14ac:dyDescent="0.3">
      <c r="A57" s="1000"/>
      <c r="B57" s="1045"/>
      <c r="C57" s="970"/>
      <c r="D57" s="971" t="s">
        <v>85</v>
      </c>
      <c r="E57" s="971"/>
      <c r="F57" s="971"/>
      <c r="G57" s="972">
        <f>G34</f>
        <v>304.73811841967159</v>
      </c>
      <c r="H57" s="972"/>
      <c r="I57" s="971"/>
      <c r="J57" s="1107"/>
      <c r="K57" s="1032"/>
      <c r="L57" s="1146"/>
      <c r="M57" s="1068"/>
      <c r="N57" s="1044"/>
      <c r="O57" s="624"/>
    </row>
    <row r="58" spans="1:17" ht="18.75" customHeight="1" thickBot="1" x14ac:dyDescent="0.25">
      <c r="A58" s="1000"/>
      <c r="B58" s="1045"/>
      <c r="C58" s="970"/>
      <c r="D58" s="969" t="s">
        <v>452</v>
      </c>
      <c r="E58" s="969"/>
      <c r="F58" s="969"/>
      <c r="G58" s="969"/>
      <c r="H58" s="969"/>
      <c r="I58" s="969"/>
      <c r="J58" s="991"/>
      <c r="K58" s="969" t="s">
        <v>272</v>
      </c>
      <c r="L58" s="1067" t="s">
        <v>453</v>
      </c>
      <c r="M58" s="1006">
        <v>0.01</v>
      </c>
      <c r="N58" s="1044">
        <f>$D$11*M58</f>
        <v>69350.641654537088</v>
      </c>
      <c r="O58" s="624"/>
    </row>
    <row r="59" spans="1:17" ht="18.75" customHeight="1" thickBot="1" x14ac:dyDescent="0.25">
      <c r="A59" s="1000"/>
      <c r="B59" s="1045"/>
      <c r="C59" s="970"/>
      <c r="D59" s="969"/>
      <c r="E59" s="969"/>
      <c r="F59" s="969"/>
      <c r="G59" s="969"/>
      <c r="H59" s="969"/>
      <c r="I59" s="969"/>
      <c r="J59" s="1018"/>
      <c r="K59" s="969"/>
      <c r="L59" s="977"/>
      <c r="M59" s="1006"/>
      <c r="N59" s="1044"/>
      <c r="O59" s="624"/>
    </row>
    <row r="60" spans="1:17" ht="33.75" customHeight="1" thickBot="1" x14ac:dyDescent="0.25">
      <c r="A60" s="1000"/>
      <c r="B60" s="1045"/>
      <c r="C60" s="970"/>
      <c r="D60" s="969"/>
      <c r="E60" s="969"/>
      <c r="F60" s="969"/>
      <c r="G60" s="969"/>
      <c r="H60" s="969"/>
      <c r="I60" s="969"/>
      <c r="J60" s="1018"/>
      <c r="K60" s="969"/>
      <c r="L60" s="977"/>
      <c r="M60" s="1006"/>
      <c r="N60" s="1044"/>
      <c r="O60" s="624"/>
    </row>
    <row r="61" spans="1:17" ht="18.75" customHeight="1" thickBot="1" x14ac:dyDescent="0.25">
      <c r="A61" s="1000"/>
      <c r="B61" s="1045"/>
      <c r="C61" s="970"/>
      <c r="D61" s="969"/>
      <c r="E61" s="969"/>
      <c r="F61" s="969"/>
      <c r="G61" s="969"/>
      <c r="H61" s="969"/>
      <c r="I61" s="969"/>
      <c r="J61" s="1018"/>
      <c r="K61" s="969"/>
      <c r="L61" s="977"/>
      <c r="M61" s="1006"/>
      <c r="N61" s="1044"/>
      <c r="O61" s="624"/>
    </row>
    <row r="62" spans="1:17" ht="46.5" customHeight="1" thickBot="1" x14ac:dyDescent="0.25">
      <c r="A62" s="1000"/>
      <c r="B62" s="1045"/>
      <c r="C62" s="970"/>
      <c r="D62" s="969"/>
      <c r="E62" s="969"/>
      <c r="F62" s="969"/>
      <c r="G62" s="969"/>
      <c r="H62" s="969"/>
      <c r="I62" s="969"/>
      <c r="J62" s="1102"/>
      <c r="K62" s="969"/>
      <c r="L62" s="978"/>
      <c r="M62" s="1006"/>
      <c r="N62" s="1044"/>
      <c r="O62" s="624"/>
    </row>
    <row r="63" spans="1:17" ht="30.75" customHeight="1" thickBot="1" x14ac:dyDescent="0.3">
      <c r="A63" s="1000"/>
      <c r="B63" s="973" t="s">
        <v>316</v>
      </c>
      <c r="C63" s="970">
        <f>'ES CT Electric Table A  '!Q14/1000</f>
        <v>15732.025</v>
      </c>
      <c r="D63" s="971" t="s">
        <v>78</v>
      </c>
      <c r="E63" s="971"/>
      <c r="F63" s="971"/>
      <c r="G63" s="968">
        <f>+E37</f>
        <v>28405784.203310303</v>
      </c>
      <c r="H63" s="968"/>
      <c r="I63" s="971"/>
      <c r="J63" s="1026"/>
      <c r="K63" s="1032" t="s">
        <v>324</v>
      </c>
      <c r="L63" s="971" t="s">
        <v>13</v>
      </c>
      <c r="M63" s="971"/>
      <c r="N63" s="1011"/>
      <c r="O63" s="625"/>
    </row>
    <row r="64" spans="1:17" ht="38.25" customHeight="1" thickBot="1" x14ac:dyDescent="0.3">
      <c r="A64" s="1000"/>
      <c r="B64" s="974"/>
      <c r="C64" s="970"/>
      <c r="D64" s="971" t="s">
        <v>86</v>
      </c>
      <c r="E64" s="971"/>
      <c r="F64" s="971"/>
      <c r="G64" s="968">
        <f>+G37</f>
        <v>256.28787956783577</v>
      </c>
      <c r="H64" s="968"/>
      <c r="I64" s="971"/>
      <c r="J64" s="1107"/>
      <c r="K64" s="1032"/>
      <c r="L64" s="971"/>
      <c r="M64" s="971"/>
      <c r="N64" s="1011"/>
      <c r="O64" s="625"/>
    </row>
    <row r="65" spans="1:15" ht="18.75" customHeight="1" thickBot="1" x14ac:dyDescent="0.25">
      <c r="A65" s="1000"/>
      <c r="B65" s="974"/>
      <c r="C65" s="970"/>
      <c r="D65" s="969" t="s">
        <v>454</v>
      </c>
      <c r="E65" s="969"/>
      <c r="F65" s="969"/>
      <c r="G65" s="969"/>
      <c r="H65" s="969"/>
      <c r="I65" s="969"/>
      <c r="J65" s="991"/>
      <c r="K65" s="969" t="s">
        <v>455</v>
      </c>
      <c r="L65" s="1083" t="s">
        <v>456</v>
      </c>
      <c r="M65" s="1006">
        <v>0.01</v>
      </c>
      <c r="N65" s="1044">
        <f>$D$11*M65</f>
        <v>69350.641654537088</v>
      </c>
      <c r="O65" s="624"/>
    </row>
    <row r="66" spans="1:15" ht="18.75" customHeight="1" thickBot="1" x14ac:dyDescent="0.25">
      <c r="A66" s="1000"/>
      <c r="B66" s="974"/>
      <c r="C66" s="970"/>
      <c r="D66" s="969"/>
      <c r="E66" s="969"/>
      <c r="F66" s="969"/>
      <c r="G66" s="969"/>
      <c r="H66" s="969"/>
      <c r="I66" s="969"/>
      <c r="J66" s="1018"/>
      <c r="K66" s="969"/>
      <c r="L66" s="1083"/>
      <c r="M66" s="1006"/>
      <c r="N66" s="1044"/>
      <c r="O66" s="624"/>
    </row>
    <row r="67" spans="1:15" ht="18.75" customHeight="1" thickBot="1" x14ac:dyDescent="0.25">
      <c r="A67" s="1000"/>
      <c r="B67" s="974"/>
      <c r="C67" s="970"/>
      <c r="D67" s="969"/>
      <c r="E67" s="969"/>
      <c r="F67" s="969"/>
      <c r="G67" s="969"/>
      <c r="H67" s="969"/>
      <c r="I67" s="969"/>
      <c r="J67" s="1018"/>
      <c r="K67" s="969"/>
      <c r="L67" s="1083"/>
      <c r="M67" s="1006"/>
      <c r="N67" s="1044"/>
      <c r="O67" s="624"/>
    </row>
    <row r="68" spans="1:15" ht="57.75" customHeight="1" thickBot="1" x14ac:dyDescent="0.25">
      <c r="A68" s="1000"/>
      <c r="B68" s="974"/>
      <c r="C68" s="970"/>
      <c r="D68" s="969"/>
      <c r="E68" s="969"/>
      <c r="F68" s="969"/>
      <c r="G68" s="969"/>
      <c r="H68" s="969"/>
      <c r="I68" s="969"/>
      <c r="J68" s="1102"/>
      <c r="K68" s="969"/>
      <c r="L68" s="1083"/>
      <c r="M68" s="1006"/>
      <c r="N68" s="1044"/>
      <c r="O68" s="624"/>
    </row>
    <row r="69" spans="1:15" ht="132" customHeight="1" thickBot="1" x14ac:dyDescent="0.25">
      <c r="A69" s="1000"/>
      <c r="B69" s="974"/>
      <c r="C69" s="970"/>
      <c r="D69" s="1001" t="s">
        <v>457</v>
      </c>
      <c r="E69" s="1142"/>
      <c r="F69" s="1142"/>
      <c r="G69" s="1142"/>
      <c r="H69" s="1142"/>
      <c r="I69" s="1143"/>
      <c r="J69" s="642"/>
      <c r="K69" s="642" t="s">
        <v>458</v>
      </c>
      <c r="L69" s="650" t="s">
        <v>461</v>
      </c>
      <c r="M69" s="643">
        <v>0.01</v>
      </c>
      <c r="N69" s="644">
        <f>$D$11*M69</f>
        <v>69350.641654537088</v>
      </c>
      <c r="O69" s="624"/>
    </row>
    <row r="70" spans="1:15" ht="73.5" customHeight="1" thickBot="1" x14ac:dyDescent="0.3">
      <c r="A70" s="1000"/>
      <c r="B70" s="974"/>
      <c r="C70" s="970"/>
      <c r="D70" s="969" t="s">
        <v>536</v>
      </c>
      <c r="E70" s="969"/>
      <c r="F70" s="969"/>
      <c r="G70" s="969"/>
      <c r="H70" s="969"/>
      <c r="I70" s="969"/>
      <c r="J70" s="991"/>
      <c r="K70" s="969" t="s">
        <v>460</v>
      </c>
      <c r="L70" s="973" t="s">
        <v>530</v>
      </c>
      <c r="M70" s="1019">
        <v>0.01</v>
      </c>
      <c r="N70" s="1144">
        <f>$D$11*M70</f>
        <v>69350.641654537088</v>
      </c>
      <c r="O70" s="625"/>
    </row>
    <row r="71" spans="1:15" ht="28.5" customHeight="1" thickBot="1" x14ac:dyDescent="0.3">
      <c r="A71" s="1000"/>
      <c r="B71" s="974"/>
      <c r="C71" s="970"/>
      <c r="D71" s="969"/>
      <c r="E71" s="969"/>
      <c r="F71" s="969"/>
      <c r="G71" s="969"/>
      <c r="H71" s="969"/>
      <c r="I71" s="969"/>
      <c r="J71" s="1102"/>
      <c r="K71" s="969"/>
      <c r="L71" s="973"/>
      <c r="M71" s="1021"/>
      <c r="N71" s="1145"/>
      <c r="O71" s="625"/>
    </row>
    <row r="72" spans="1:15" ht="19.5" customHeight="1" thickBot="1" x14ac:dyDescent="0.25">
      <c r="A72" s="1000"/>
      <c r="B72" s="1077" t="s">
        <v>340</v>
      </c>
      <c r="C72" s="980"/>
      <c r="D72" s="969" t="s">
        <v>485</v>
      </c>
      <c r="E72" s="969"/>
      <c r="F72" s="969"/>
      <c r="G72" s="969"/>
      <c r="H72" s="969"/>
      <c r="I72" s="969"/>
      <c r="J72" s="1147" t="s">
        <v>13</v>
      </c>
      <c r="K72" s="969" t="s">
        <v>480</v>
      </c>
      <c r="L72" s="1032"/>
      <c r="M72" s="1006">
        <v>0.02</v>
      </c>
      <c r="N72" s="1044">
        <f>$D$11*M72</f>
        <v>138701.28330907418</v>
      </c>
      <c r="O72" s="624"/>
    </row>
    <row r="73" spans="1:15" ht="19.5" customHeight="1" thickBot="1" x14ac:dyDescent="0.25">
      <c r="A73" s="1000"/>
      <c r="B73" s="1077"/>
      <c r="C73" s="980"/>
      <c r="D73" s="969"/>
      <c r="E73" s="969"/>
      <c r="F73" s="969"/>
      <c r="G73" s="969"/>
      <c r="H73" s="969"/>
      <c r="I73" s="969"/>
      <c r="J73" s="1115"/>
      <c r="K73" s="969"/>
      <c r="L73" s="1032"/>
      <c r="M73" s="1006"/>
      <c r="N73" s="1044"/>
      <c r="O73" s="624"/>
    </row>
    <row r="74" spans="1:15" ht="14.25" customHeight="1" thickBot="1" x14ac:dyDescent="0.25">
      <c r="A74" s="1000"/>
      <c r="B74" s="1077"/>
      <c r="C74" s="980"/>
      <c r="D74" s="969"/>
      <c r="E74" s="969"/>
      <c r="F74" s="969"/>
      <c r="G74" s="969"/>
      <c r="H74" s="969"/>
      <c r="I74" s="969"/>
      <c r="J74" s="1115"/>
      <c r="K74" s="969"/>
      <c r="L74" s="1032"/>
      <c r="M74" s="1006"/>
      <c r="N74" s="1044"/>
      <c r="O74" s="624"/>
    </row>
    <row r="75" spans="1:15" ht="40.5" customHeight="1" thickBot="1" x14ac:dyDescent="0.25">
      <c r="A75" s="1000"/>
      <c r="B75" s="1078"/>
      <c r="C75" s="981"/>
      <c r="D75" s="969"/>
      <c r="E75" s="969"/>
      <c r="F75" s="969"/>
      <c r="G75" s="969"/>
      <c r="H75" s="969"/>
      <c r="I75" s="969"/>
      <c r="J75" s="1116"/>
      <c r="K75" s="969"/>
      <c r="L75" s="1032"/>
      <c r="M75" s="1006"/>
      <c r="N75" s="1044"/>
      <c r="O75" s="624"/>
    </row>
    <row r="76" spans="1:15" ht="25.5" customHeight="1" thickBot="1" x14ac:dyDescent="0.3">
      <c r="A76" s="1000"/>
      <c r="B76" s="1076" t="s">
        <v>96</v>
      </c>
      <c r="C76" s="979">
        <f>'ES CT Electric Table A  '!Q10/1000</f>
        <v>3300</v>
      </c>
      <c r="D76" s="971" t="s">
        <v>78</v>
      </c>
      <c r="E76" s="971"/>
      <c r="F76" s="971"/>
      <c r="G76" s="968">
        <f>+E33</f>
        <v>54206241.104304075</v>
      </c>
      <c r="H76" s="968"/>
      <c r="I76" s="971"/>
      <c r="J76" s="1026"/>
      <c r="K76" s="969" t="s">
        <v>324</v>
      </c>
      <c r="L76" s="1032" t="s">
        <v>13</v>
      </c>
      <c r="M76" s="1006" t="s">
        <v>13</v>
      </c>
      <c r="N76" s="1044" t="s">
        <v>13</v>
      </c>
      <c r="O76" s="624"/>
    </row>
    <row r="77" spans="1:15" ht="27.75" customHeight="1" thickBot="1" x14ac:dyDescent="0.3">
      <c r="A77" s="1000"/>
      <c r="B77" s="1077"/>
      <c r="C77" s="980"/>
      <c r="D77" s="971" t="s">
        <v>86</v>
      </c>
      <c r="E77" s="971"/>
      <c r="F77" s="971"/>
      <c r="G77" s="968">
        <f>+G33</f>
        <v>651.66487629281016</v>
      </c>
      <c r="H77" s="968"/>
      <c r="I77" s="971"/>
      <c r="J77" s="1117"/>
      <c r="K77" s="969"/>
      <c r="L77" s="1032"/>
      <c r="M77" s="1006"/>
      <c r="N77" s="1044"/>
      <c r="O77" s="624"/>
    </row>
    <row r="78" spans="1:15" ht="19.5" customHeight="1" thickBot="1" x14ac:dyDescent="0.25">
      <c r="A78" s="1000"/>
      <c r="B78" s="1077"/>
      <c r="C78" s="980"/>
      <c r="D78" s="971" t="s">
        <v>13</v>
      </c>
      <c r="E78" s="971"/>
      <c r="F78" s="971"/>
      <c r="G78" s="971"/>
      <c r="H78" s="971"/>
      <c r="I78" s="971"/>
      <c r="J78" s="1117"/>
      <c r="K78" s="969"/>
      <c r="L78" s="1032"/>
      <c r="M78" s="1006"/>
      <c r="N78" s="1044"/>
      <c r="O78" s="624"/>
    </row>
    <row r="79" spans="1:15" ht="19.5" customHeight="1" thickBot="1" x14ac:dyDescent="0.25">
      <c r="A79" s="1000"/>
      <c r="B79" s="1077"/>
      <c r="C79" s="980"/>
      <c r="D79" s="971"/>
      <c r="E79" s="971"/>
      <c r="F79" s="971"/>
      <c r="G79" s="971"/>
      <c r="H79" s="971"/>
      <c r="I79" s="971"/>
      <c r="J79" s="1117"/>
      <c r="K79" s="969"/>
      <c r="L79" s="1032"/>
      <c r="M79" s="1006"/>
      <c r="N79" s="1044"/>
      <c r="O79" s="624"/>
    </row>
    <row r="80" spans="1:15" ht="14.25" customHeight="1" thickBot="1" x14ac:dyDescent="0.25">
      <c r="A80" s="1000"/>
      <c r="B80" s="1077"/>
      <c r="C80" s="980"/>
      <c r="D80" s="971"/>
      <c r="E80" s="971"/>
      <c r="F80" s="971"/>
      <c r="G80" s="971"/>
      <c r="H80" s="971"/>
      <c r="I80" s="971"/>
      <c r="J80" s="1117"/>
      <c r="K80" s="969"/>
      <c r="L80" s="1032"/>
      <c r="M80" s="1006"/>
      <c r="N80" s="1044"/>
      <c r="O80" s="624"/>
    </row>
    <row r="81" spans="1:20" ht="9" customHeight="1" thickBot="1" x14ac:dyDescent="0.25">
      <c r="A81" s="1000"/>
      <c r="B81" s="1078"/>
      <c r="C81" s="981"/>
      <c r="D81" s="971"/>
      <c r="E81" s="971"/>
      <c r="F81" s="971"/>
      <c r="G81" s="971"/>
      <c r="H81" s="971"/>
      <c r="I81" s="971"/>
      <c r="J81" s="1107"/>
      <c r="K81" s="969"/>
      <c r="L81" s="1032"/>
      <c r="M81" s="1006"/>
      <c r="N81" s="1044"/>
      <c r="O81" s="624"/>
    </row>
    <row r="82" spans="1:20" ht="36.75" customHeight="1" thickBot="1" x14ac:dyDescent="0.25">
      <c r="A82" s="1000"/>
      <c r="B82" s="975" t="s">
        <v>79</v>
      </c>
      <c r="C82" s="975"/>
      <c r="D82" s="967" t="s">
        <v>71</v>
      </c>
      <c r="E82" s="967" t="s">
        <v>72</v>
      </c>
      <c r="F82" s="967"/>
      <c r="G82" s="967" t="s">
        <v>73</v>
      </c>
      <c r="H82" s="967"/>
      <c r="I82" s="999" t="s">
        <v>430</v>
      </c>
      <c r="J82" s="999" t="s">
        <v>432</v>
      </c>
      <c r="K82" s="1033"/>
      <c r="L82" s="1033"/>
      <c r="M82" s="1033"/>
      <c r="N82" s="1084"/>
      <c r="O82" s="621"/>
    </row>
    <row r="83" spans="1:20" ht="19.5" customHeight="1" thickBot="1" x14ac:dyDescent="0.25">
      <c r="A83" s="1000"/>
      <c r="B83" s="975"/>
      <c r="C83" s="975"/>
      <c r="D83" s="967"/>
      <c r="E83" s="967"/>
      <c r="F83" s="967"/>
      <c r="G83" s="967"/>
      <c r="H83" s="967"/>
      <c r="I83" s="999"/>
      <c r="J83" s="999"/>
      <c r="K83" s="1033"/>
      <c r="L83" s="1033"/>
      <c r="M83" s="1033"/>
      <c r="N83" s="1084"/>
      <c r="O83" s="621"/>
    </row>
    <row r="84" spans="1:20" ht="39.75" customHeight="1" thickBot="1" x14ac:dyDescent="0.3">
      <c r="A84" s="1000"/>
      <c r="B84" s="973" t="s">
        <v>102</v>
      </c>
      <c r="C84" s="970">
        <f>'ES CT Electric Table A  '!Q22/1000</f>
        <v>59536.992678755443</v>
      </c>
      <c r="D84" s="451" t="s">
        <v>106</v>
      </c>
      <c r="E84" s="997">
        <f>'2014-24 ESCTETable D3-lftimekWh'!P16*1000</f>
        <v>221293017.45361578</v>
      </c>
      <c r="F84" s="997"/>
      <c r="G84" s="997">
        <f>'2014-24 ES CT E Table D1-kW'!P16</f>
        <v>3966.8047105163878</v>
      </c>
      <c r="H84" s="997"/>
      <c r="I84" s="673">
        <f>'[18]Eversource Elect_Table_B'!U69</f>
        <v>34467.608842264119</v>
      </c>
      <c r="J84" s="673">
        <f>'[18]Eversource Elect_Table_B'!W69</f>
        <v>42521.413263396185</v>
      </c>
      <c r="K84" s="1014" t="s">
        <v>475</v>
      </c>
      <c r="L84" s="1014" t="s">
        <v>476</v>
      </c>
      <c r="M84" s="1025">
        <v>0.17449999999999999</v>
      </c>
      <c r="N84" s="1012">
        <f>$D$11*M84</f>
        <v>1210168.6968716721</v>
      </c>
      <c r="O84" s="626"/>
    </row>
    <row r="85" spans="1:20" ht="44.25" customHeight="1" thickBot="1" x14ac:dyDescent="0.3">
      <c r="A85" s="1000"/>
      <c r="B85" s="973"/>
      <c r="C85" s="970"/>
      <c r="D85" s="451" t="s">
        <v>97</v>
      </c>
      <c r="E85" s="997">
        <f>'2014-24 ESCTETable D3-lftimekWh'!P17*1000</f>
        <v>405545504.45728588</v>
      </c>
      <c r="F85" s="997"/>
      <c r="G85" s="997">
        <f>'2014-24 ES CT E Table D1-kW'!P17</f>
        <v>9359.8634164591385</v>
      </c>
      <c r="H85" s="997"/>
      <c r="I85" s="673">
        <f>'[18]Eversource Elect_Table_B'!U70</f>
        <v>28391.999999999996</v>
      </c>
      <c r="J85" s="673">
        <f>'[18]Eversource Elect_Table_B'!W70</f>
        <v>20280.000000000004</v>
      </c>
      <c r="K85" s="1014"/>
      <c r="L85" s="1014"/>
      <c r="M85" s="1025"/>
      <c r="N85" s="1012"/>
      <c r="O85" s="626"/>
    </row>
    <row r="86" spans="1:20" ht="60.75" customHeight="1" thickBot="1" x14ac:dyDescent="0.3">
      <c r="A86" s="1000"/>
      <c r="B86" s="973"/>
      <c r="C86" s="970"/>
      <c r="D86" s="451" t="s">
        <v>217</v>
      </c>
      <c r="E86" s="997">
        <f>'2014-24 ESCTETable D3-lftimekWh'!P18*1000</f>
        <v>74575546.713394821</v>
      </c>
      <c r="F86" s="997"/>
      <c r="G86" s="997">
        <f>'2014-24 ES CT E Table D1-kW'!P18</f>
        <v>1794.451962279644</v>
      </c>
      <c r="H86" s="997"/>
      <c r="I86" s="673">
        <f>'[18]Eversource Elect_Table_B'!U71</f>
        <v>8877.6323176562419</v>
      </c>
      <c r="J86" s="673">
        <f>'[18]Eversource Elect_Table_B'!W71</f>
        <v>7112.2596316653344</v>
      </c>
      <c r="K86" s="1014"/>
      <c r="L86" s="1004">
        <f>E91+G91+I91+J91</f>
        <v>149418179.58714193</v>
      </c>
      <c r="M86" s="1025"/>
      <c r="N86" s="1012"/>
      <c r="O86" s="626"/>
    </row>
    <row r="87" spans="1:20" ht="42.75" customHeight="1" thickBot="1" x14ac:dyDescent="0.3">
      <c r="A87" s="1000"/>
      <c r="B87" s="973"/>
      <c r="C87" s="970"/>
      <c r="D87" s="451" t="s">
        <v>80</v>
      </c>
      <c r="E87" s="997">
        <f>'2014-24 ESCTETable D3-lftimekWh'!P19*1000</f>
        <v>157339256.68546757</v>
      </c>
      <c r="F87" s="997"/>
      <c r="G87" s="997">
        <f>'2014-24 ES CT E Table D1-kW'!P19</f>
        <v>4212.3109382911534</v>
      </c>
      <c r="H87" s="997"/>
      <c r="I87" s="673">
        <f>'[18]Eversource Elect_Table_B'!U72</f>
        <v>15508.799999999997</v>
      </c>
      <c r="J87" s="673">
        <f>'[18]Eversource Elect_Table_B'!W72</f>
        <v>13105.131282163582</v>
      </c>
      <c r="K87" s="1014"/>
      <c r="L87" s="1004"/>
      <c r="M87" s="1025"/>
      <c r="N87" s="1012"/>
      <c r="O87" s="626"/>
    </row>
    <row r="88" spans="1:20" ht="18.75" customHeight="1" thickBot="1" x14ac:dyDescent="0.3">
      <c r="A88" s="1000"/>
      <c r="B88" s="973"/>
      <c r="C88" s="970"/>
      <c r="D88" s="451" t="s">
        <v>76</v>
      </c>
      <c r="E88" s="998">
        <f>ROUND(SUM(E84:E87),0)</f>
        <v>858753325</v>
      </c>
      <c r="F88" s="998"/>
      <c r="G88" s="998">
        <f>ROUND(SUM(G84:G87),0)</f>
        <v>19333</v>
      </c>
      <c r="H88" s="998"/>
      <c r="I88" s="674">
        <f>SUM(I84:I87)</f>
        <v>87246.041159920365</v>
      </c>
      <c r="J88" s="674">
        <f>SUM(J84:J87)</f>
        <v>83018.804177225102</v>
      </c>
      <c r="K88" s="1014"/>
      <c r="L88" s="1004"/>
      <c r="M88" s="1025"/>
      <c r="N88" s="1012"/>
      <c r="O88" s="626"/>
    </row>
    <row r="89" spans="1:20" ht="18.75" customHeight="1" thickBot="1" x14ac:dyDescent="0.25">
      <c r="A89" s="1000"/>
      <c r="B89" s="973"/>
      <c r="C89" s="970"/>
      <c r="D89" s="969"/>
      <c r="E89" s="969"/>
      <c r="F89" s="969"/>
      <c r="G89" s="969"/>
      <c r="H89" s="969"/>
      <c r="I89" s="969"/>
      <c r="J89" s="642"/>
      <c r="K89" s="1014"/>
      <c r="L89" s="1004"/>
      <c r="M89" s="1025"/>
      <c r="N89" s="1012"/>
      <c r="O89" s="626"/>
    </row>
    <row r="90" spans="1:20" ht="36.75" customHeight="1" thickBot="1" x14ac:dyDescent="0.3">
      <c r="A90" s="1000"/>
      <c r="B90" s="973"/>
      <c r="C90" s="970"/>
      <c r="D90" s="451" t="s">
        <v>77</v>
      </c>
      <c r="E90" s="680">
        <f>E91/E88</f>
        <v>0.13202378046439239</v>
      </c>
      <c r="F90" s="679" t="s">
        <v>4</v>
      </c>
      <c r="G90" s="679">
        <f>G91/G88</f>
        <v>1834.8490858327584</v>
      </c>
      <c r="H90" s="642" t="s">
        <v>5</v>
      </c>
      <c r="I90" s="694">
        <f>I91/I88</f>
        <v>3.1079399219172363</v>
      </c>
      <c r="J90" s="694">
        <f>J91/J88</f>
        <v>3.5898650489331412</v>
      </c>
      <c r="K90" s="1014"/>
      <c r="L90" s="1004"/>
      <c r="M90" s="1025"/>
      <c r="N90" s="1012"/>
      <c r="O90" s="626"/>
    </row>
    <row r="91" spans="1:20" ht="26.25" customHeight="1" thickBot="1" x14ac:dyDescent="0.3">
      <c r="A91" s="1000"/>
      <c r="B91" s="973"/>
      <c r="C91" s="970"/>
      <c r="D91" s="452" t="s">
        <v>216</v>
      </c>
      <c r="E91" s="679">
        <f>'[18]Eversource Elect_Table_B'!$BQ$73</f>
        <v>113375860.45286702</v>
      </c>
      <c r="F91" s="650"/>
      <c r="G91" s="679">
        <f>'[18]Eversource Elect_Table_B'!$BY$73</f>
        <v>35473137.376404718</v>
      </c>
      <c r="H91" s="642"/>
      <c r="I91" s="695">
        <f>'[18]Eversource Elect_Table_B'!$CC$73</f>
        <v>271155.45435015089</v>
      </c>
      <c r="J91" s="695">
        <f>'[18]Eversource Elect_Table_B'!$CD$73</f>
        <v>298026.30352004507</v>
      </c>
      <c r="K91" s="1014"/>
      <c r="L91" s="1004"/>
      <c r="M91" s="1025"/>
      <c r="N91" s="1012"/>
      <c r="O91" s="626"/>
      <c r="Q91" s="151">
        <f>SUM(M31:M80)</f>
        <v>0.51880000000000004</v>
      </c>
      <c r="R91" t="s">
        <v>103</v>
      </c>
      <c r="T91" s="37">
        <f>SUM(N31:N80)</f>
        <v>3597911.2890373841</v>
      </c>
    </row>
    <row r="92" spans="1:20" ht="24" customHeight="1" thickBot="1" x14ac:dyDescent="0.3">
      <c r="A92" s="1000"/>
      <c r="B92" s="973"/>
      <c r="C92" s="970"/>
      <c r="D92" s="1029" t="s">
        <v>81</v>
      </c>
      <c r="E92" s="1030"/>
      <c r="F92" s="1030"/>
      <c r="G92" s="1030"/>
      <c r="H92" s="1031"/>
      <c r="I92" s="662"/>
      <c r="J92" s="662"/>
      <c r="K92" s="1014"/>
      <c r="L92" s="1004"/>
      <c r="M92" s="1025"/>
      <c r="N92" s="1012"/>
      <c r="O92" s="626"/>
      <c r="Q92">
        <f>SUM(M82:M121)</f>
        <v>0.47119999999999995</v>
      </c>
      <c r="R92" t="s">
        <v>104</v>
      </c>
      <c r="T92" s="37">
        <f>SUM(N84:N121)</f>
        <v>3267802.2347617876</v>
      </c>
    </row>
    <row r="93" spans="1:20" ht="50.25" customHeight="1" thickBot="1" x14ac:dyDescent="0.25">
      <c r="A93" s="1000"/>
      <c r="B93" s="645" t="s">
        <v>477</v>
      </c>
      <c r="C93" s="675"/>
      <c r="D93" s="998" t="s">
        <v>544</v>
      </c>
      <c r="E93" s="998"/>
      <c r="F93" s="998"/>
      <c r="G93" s="998"/>
      <c r="H93" s="998"/>
      <c r="I93" s="581">
        <f>L86-C84*1000</f>
        <v>89881186.908386499</v>
      </c>
      <c r="J93" s="581"/>
      <c r="K93" s="645"/>
      <c r="L93" s="666">
        <f>I93</f>
        <v>89881186.908386499</v>
      </c>
      <c r="M93" s="669">
        <v>0.17449999999999999</v>
      </c>
      <c r="N93" s="666">
        <f>$D$11*M93</f>
        <v>1210168.6968716721</v>
      </c>
      <c r="O93" s="627"/>
      <c r="Q93" s="543">
        <f>M122</f>
        <v>0.01</v>
      </c>
      <c r="R93" s="41" t="s">
        <v>370</v>
      </c>
      <c r="T93" s="37">
        <f>N122</f>
        <v>69350.641654537088</v>
      </c>
    </row>
    <row r="94" spans="1:20" ht="45" customHeight="1" thickBot="1" x14ac:dyDescent="0.25">
      <c r="A94" s="1000"/>
      <c r="B94" s="976" t="s">
        <v>462</v>
      </c>
      <c r="C94" s="637">
        <f>'ES CT Electric Table A  '!Q25/1000</f>
        <v>4818.6490000000003</v>
      </c>
      <c r="D94" s="681" t="s">
        <v>463</v>
      </c>
      <c r="E94" s="681"/>
      <c r="F94" s="681"/>
      <c r="G94" s="681">
        <f>'2014-24 ES CT E Table D1-kW'!P24</f>
        <v>84661.499999999985</v>
      </c>
      <c r="H94" s="693" t="s">
        <v>73</v>
      </c>
      <c r="I94" s="651"/>
      <c r="J94" s="651"/>
      <c r="K94" s="659"/>
      <c r="L94" s="646"/>
      <c r="M94" s="445"/>
      <c r="N94" s="646"/>
      <c r="O94" s="623"/>
      <c r="P94" s="41"/>
      <c r="Q94" s="639">
        <f>SUM(Q91:Q93)</f>
        <v>1</v>
      </c>
      <c r="R94" t="s">
        <v>105</v>
      </c>
      <c r="T94" s="37">
        <f>SUM(T91:T93)</f>
        <v>6935064.1654537087</v>
      </c>
    </row>
    <row r="95" spans="1:20" ht="52.5" customHeight="1" thickBot="1" x14ac:dyDescent="0.25">
      <c r="A95" s="1000"/>
      <c r="B95" s="978"/>
      <c r="C95" s="442"/>
      <c r="D95" s="681" t="s">
        <v>464</v>
      </c>
      <c r="E95" s="687">
        <f>'[18]Eversource Elect_Table_B'!$E$76*1000</f>
        <v>12632277.450403512</v>
      </c>
      <c r="F95" s="681" t="s">
        <v>465</v>
      </c>
      <c r="G95" s="692">
        <f>E95/G94</f>
        <v>149.20923265479013</v>
      </c>
      <c r="H95" s="693" t="s">
        <v>438</v>
      </c>
      <c r="I95" s="651"/>
      <c r="J95" s="651"/>
      <c r="K95" s="670" t="s">
        <v>466</v>
      </c>
      <c r="L95" s="678">
        <f>E95</f>
        <v>12632277.450403512</v>
      </c>
      <c r="M95" s="445">
        <v>1.11E-2</v>
      </c>
      <c r="N95" s="646">
        <f>$D$11*M95</f>
        <v>76979.212236536172</v>
      </c>
      <c r="O95" s="623"/>
      <c r="P95" s="41"/>
      <c r="Q95" s="41"/>
      <c r="T95" s="37">
        <f>N123</f>
        <v>6935064.1654537069</v>
      </c>
    </row>
    <row r="96" spans="1:20" ht="52.5" customHeight="1" thickBot="1" x14ac:dyDescent="0.25">
      <c r="A96" s="1000"/>
      <c r="B96" s="653" t="s">
        <v>479</v>
      </c>
      <c r="C96" s="442"/>
      <c r="D96" s="1140" t="s">
        <v>469</v>
      </c>
      <c r="E96" s="1141"/>
      <c r="F96" s="1141"/>
      <c r="G96" s="1141"/>
      <c r="H96" s="688"/>
      <c r="I96" s="672">
        <f>E95-C94*1000</f>
        <v>7813628.4504035115</v>
      </c>
      <c r="J96" s="651"/>
      <c r="K96" s="670" t="s">
        <v>470</v>
      </c>
      <c r="L96" s="678">
        <f>L95-C94*1000</f>
        <v>7813628.4504035115</v>
      </c>
      <c r="M96" s="445">
        <v>1.11E-2</v>
      </c>
      <c r="N96" s="646">
        <f>$D$11*M96</f>
        <v>76979.212236536172</v>
      </c>
      <c r="O96" s="623"/>
      <c r="P96" s="41"/>
      <c r="Q96" s="41"/>
      <c r="T96" s="37"/>
    </row>
    <row r="97" spans="1:20" ht="57.75" customHeight="1" thickBot="1" x14ac:dyDescent="0.25">
      <c r="A97" s="1000"/>
      <c r="B97" s="973" t="s">
        <v>546</v>
      </c>
      <c r="C97" s="970">
        <f>'ES CT Electric Table A  '!Q19/1000</f>
        <v>32921.033173665601</v>
      </c>
      <c r="D97" s="969" t="s">
        <v>552</v>
      </c>
      <c r="E97" s="969"/>
      <c r="F97" s="969"/>
      <c r="G97" s="969"/>
      <c r="H97" s="969"/>
      <c r="I97" s="969"/>
      <c r="J97" s="991" t="s">
        <v>13</v>
      </c>
      <c r="K97" s="969" t="s">
        <v>322</v>
      </c>
      <c r="L97" s="1005" t="s">
        <v>467</v>
      </c>
      <c r="M97" s="1013">
        <v>2.5000000000000001E-2</v>
      </c>
      <c r="N97" s="1004">
        <f>$D$11*M97</f>
        <v>173376.60413634274</v>
      </c>
      <c r="O97" s="627"/>
      <c r="Q97" s="151"/>
      <c r="T97" s="37">
        <f>T95-T94</f>
        <v>0</v>
      </c>
    </row>
    <row r="98" spans="1:20" ht="14.25" customHeight="1" thickBot="1" x14ac:dyDescent="0.25">
      <c r="A98" s="1000"/>
      <c r="B98" s="974"/>
      <c r="C98" s="970"/>
      <c r="D98" s="969"/>
      <c r="E98" s="969"/>
      <c r="F98" s="969"/>
      <c r="G98" s="969"/>
      <c r="H98" s="969"/>
      <c r="I98" s="969"/>
      <c r="J98" s="1121"/>
      <c r="K98" s="969"/>
      <c r="L98" s="1005"/>
      <c r="M98" s="1013"/>
      <c r="N98" s="1004"/>
      <c r="O98" s="627"/>
      <c r="T98" s="37" t="s">
        <v>13</v>
      </c>
    </row>
    <row r="99" spans="1:20" ht="93" customHeight="1" thickBot="1" x14ac:dyDescent="0.25">
      <c r="A99" s="1000"/>
      <c r="B99" s="974"/>
      <c r="C99" s="970"/>
      <c r="D99" s="969"/>
      <c r="E99" s="969"/>
      <c r="F99" s="969"/>
      <c r="G99" s="969"/>
      <c r="H99" s="969"/>
      <c r="I99" s="969"/>
      <c r="J99" s="1121"/>
      <c r="K99" s="969"/>
      <c r="L99" s="1005"/>
      <c r="M99" s="1013"/>
      <c r="N99" s="1004"/>
      <c r="O99" s="627"/>
    </row>
    <row r="100" spans="1:20" ht="38.25" customHeight="1" thickBot="1" x14ac:dyDescent="0.25">
      <c r="A100" s="1000"/>
      <c r="B100" s="974"/>
      <c r="C100" s="970"/>
      <c r="D100" s="969"/>
      <c r="E100" s="969"/>
      <c r="F100" s="969"/>
      <c r="G100" s="969"/>
      <c r="H100" s="969"/>
      <c r="I100" s="969"/>
      <c r="J100" s="1121"/>
      <c r="K100" s="969"/>
      <c r="L100" s="1005"/>
      <c r="M100" s="1013"/>
      <c r="N100" s="1004"/>
      <c r="O100" s="627"/>
    </row>
    <row r="101" spans="1:20" ht="18.75" customHeight="1" thickBot="1" x14ac:dyDescent="0.25">
      <c r="A101" s="1000"/>
      <c r="B101" s="974"/>
      <c r="C101" s="970"/>
      <c r="D101" s="969"/>
      <c r="E101" s="969"/>
      <c r="F101" s="969"/>
      <c r="G101" s="969"/>
      <c r="H101" s="969"/>
      <c r="I101" s="969"/>
      <c r="J101" s="1122"/>
      <c r="K101" s="969"/>
      <c r="L101" s="1005"/>
      <c r="M101" s="1013"/>
      <c r="N101" s="1004"/>
      <c r="O101" s="627"/>
    </row>
    <row r="102" spans="1:20" ht="18.75" customHeight="1" thickBot="1" x14ac:dyDescent="0.25">
      <c r="A102" s="1000"/>
      <c r="B102" s="973" t="s">
        <v>547</v>
      </c>
      <c r="C102" s="970">
        <f>'ES CT Electric Table A  '!Q18/1000</f>
        <v>10900.633455251702</v>
      </c>
      <c r="D102" s="1015" t="s">
        <v>548</v>
      </c>
      <c r="E102" s="1015"/>
      <c r="F102" s="1015"/>
      <c r="G102" s="1015"/>
      <c r="H102" s="1015"/>
      <c r="I102" s="1015"/>
      <c r="J102" s="1148"/>
      <c r="K102" s="969" t="s">
        <v>549</v>
      </c>
      <c r="L102" s="1005" t="s">
        <v>550</v>
      </c>
      <c r="M102" s="1013">
        <v>0.02</v>
      </c>
      <c r="N102" s="1004">
        <f>$D$11*M102</f>
        <v>138701.28330907418</v>
      </c>
      <c r="O102" s="627"/>
    </row>
    <row r="103" spans="1:20" ht="12" customHeight="1" thickBot="1" x14ac:dyDescent="0.25">
      <c r="A103" s="1000"/>
      <c r="B103" s="973"/>
      <c r="C103" s="970"/>
      <c r="D103" s="1015"/>
      <c r="E103" s="1015"/>
      <c r="F103" s="1015"/>
      <c r="G103" s="1015"/>
      <c r="H103" s="1015"/>
      <c r="I103" s="1015"/>
      <c r="J103" s="1018"/>
      <c r="K103" s="969"/>
      <c r="L103" s="1005"/>
      <c r="M103" s="1013"/>
      <c r="N103" s="1004"/>
      <c r="O103" s="627"/>
    </row>
    <row r="104" spans="1:20" ht="21" customHeight="1" thickBot="1" x14ac:dyDescent="0.25">
      <c r="A104" s="1000"/>
      <c r="B104" s="973"/>
      <c r="C104" s="970"/>
      <c r="D104" s="1015"/>
      <c r="E104" s="1015"/>
      <c r="F104" s="1015"/>
      <c r="G104" s="1015"/>
      <c r="H104" s="1015"/>
      <c r="I104" s="1015"/>
      <c r="J104" s="1018"/>
      <c r="K104" s="969"/>
      <c r="L104" s="1005"/>
      <c r="M104" s="1013"/>
      <c r="N104" s="1004"/>
      <c r="O104" s="627"/>
    </row>
    <row r="105" spans="1:20" ht="84" customHeight="1" thickBot="1" x14ac:dyDescent="0.25">
      <c r="A105" s="1000"/>
      <c r="B105" s="973"/>
      <c r="C105" s="970"/>
      <c r="D105" s="1015"/>
      <c r="E105" s="1015"/>
      <c r="F105" s="1015"/>
      <c r="G105" s="1015"/>
      <c r="H105" s="1015"/>
      <c r="I105" s="1015"/>
      <c r="J105" s="1018"/>
      <c r="K105" s="969"/>
      <c r="L105" s="1005"/>
      <c r="M105" s="1013"/>
      <c r="N105" s="1004"/>
      <c r="O105" s="627"/>
    </row>
    <row r="106" spans="1:20" ht="21" customHeight="1" thickBot="1" x14ac:dyDescent="0.25">
      <c r="A106" s="1000"/>
      <c r="B106" s="973"/>
      <c r="C106" s="970"/>
      <c r="D106" s="1015"/>
      <c r="E106" s="1015"/>
      <c r="F106" s="1015"/>
      <c r="G106" s="1015"/>
      <c r="H106" s="1015"/>
      <c r="I106" s="1015"/>
      <c r="J106" s="1018"/>
      <c r="K106" s="969"/>
      <c r="L106" s="1005"/>
      <c r="M106" s="1013"/>
      <c r="N106" s="1004"/>
      <c r="O106" s="627"/>
    </row>
    <row r="107" spans="1:20" ht="6" customHeight="1" thickBot="1" x14ac:dyDescent="0.25">
      <c r="A107" s="1000"/>
      <c r="B107" s="973"/>
      <c r="C107" s="970"/>
      <c r="D107" s="1015"/>
      <c r="E107" s="1015"/>
      <c r="F107" s="1015"/>
      <c r="G107" s="1015"/>
      <c r="H107" s="1015"/>
      <c r="I107" s="1015"/>
      <c r="J107" s="1102"/>
      <c r="K107" s="969"/>
      <c r="L107" s="1005"/>
      <c r="M107" s="1013"/>
      <c r="N107" s="1004"/>
      <c r="O107" s="627"/>
    </row>
    <row r="108" spans="1:20" ht="38.25" customHeight="1" thickBot="1" x14ac:dyDescent="0.3">
      <c r="A108" s="1000"/>
      <c r="B108" s="974" t="s">
        <v>80</v>
      </c>
      <c r="C108" s="970">
        <f>'ES CT Electric Table A  '!Q21/1000</f>
        <v>12363.153648563601</v>
      </c>
      <c r="D108" s="971" t="s">
        <v>0</v>
      </c>
      <c r="E108" s="971"/>
      <c r="F108" s="971"/>
      <c r="G108" s="972">
        <f>E87</f>
        <v>157339256.68546757</v>
      </c>
      <c r="H108" s="972"/>
      <c r="I108" s="971"/>
      <c r="J108" s="1026"/>
      <c r="K108" s="969" t="s">
        <v>324</v>
      </c>
      <c r="L108" s="971"/>
      <c r="M108" s="971"/>
      <c r="N108" s="1011"/>
      <c r="O108" s="625"/>
    </row>
    <row r="109" spans="1:20" ht="48" customHeight="1" thickBot="1" x14ac:dyDescent="0.3">
      <c r="A109" s="1000"/>
      <c r="B109" s="974"/>
      <c r="C109" s="970"/>
      <c r="D109" s="971" t="s">
        <v>1</v>
      </c>
      <c r="E109" s="971"/>
      <c r="F109" s="971"/>
      <c r="G109" s="972">
        <f>G87</f>
        <v>4212.3109382911534</v>
      </c>
      <c r="H109" s="972"/>
      <c r="I109" s="971"/>
      <c r="J109" s="1107"/>
      <c r="K109" s="969"/>
      <c r="L109" s="971"/>
      <c r="M109" s="971"/>
      <c r="N109" s="1011"/>
      <c r="O109" s="625"/>
    </row>
    <row r="110" spans="1:20" ht="15.75" customHeight="1" thickBot="1" x14ac:dyDescent="0.25">
      <c r="A110" s="1000"/>
      <c r="B110" s="974"/>
      <c r="C110" s="970"/>
      <c r="D110" s="969" t="s">
        <v>551</v>
      </c>
      <c r="E110" s="969"/>
      <c r="F110" s="969"/>
      <c r="G110" s="969"/>
      <c r="H110" s="969"/>
      <c r="I110" s="969"/>
      <c r="J110" s="1147" t="s">
        <v>13</v>
      </c>
      <c r="K110" s="969" t="s">
        <v>318</v>
      </c>
      <c r="L110" s="1005" t="s">
        <v>468</v>
      </c>
      <c r="M110" s="1006">
        <v>2.5000000000000001E-2</v>
      </c>
      <c r="N110" s="1004">
        <f>$D$11*M110</f>
        <v>173376.60413634274</v>
      </c>
      <c r="O110" s="627"/>
    </row>
    <row r="111" spans="1:20" ht="30" customHeight="1" thickBot="1" x14ac:dyDescent="0.25">
      <c r="A111" s="1000"/>
      <c r="B111" s="974"/>
      <c r="C111" s="970"/>
      <c r="D111" s="969"/>
      <c r="E111" s="969"/>
      <c r="F111" s="969"/>
      <c r="G111" s="969"/>
      <c r="H111" s="969"/>
      <c r="I111" s="969"/>
      <c r="J111" s="1115"/>
      <c r="K111" s="969"/>
      <c r="L111" s="1005"/>
      <c r="M111" s="1006"/>
      <c r="N111" s="1004"/>
      <c r="O111" s="627"/>
    </row>
    <row r="112" spans="1:20" ht="89.25" customHeight="1" thickBot="1" x14ac:dyDescent="0.25">
      <c r="A112" s="1000"/>
      <c r="B112" s="974"/>
      <c r="C112" s="970"/>
      <c r="D112" s="969"/>
      <c r="E112" s="969"/>
      <c r="F112" s="969"/>
      <c r="G112" s="969"/>
      <c r="H112" s="969"/>
      <c r="I112" s="969"/>
      <c r="J112" s="1115"/>
      <c r="K112" s="969"/>
      <c r="L112" s="1005"/>
      <c r="M112" s="1006"/>
      <c r="N112" s="1004"/>
      <c r="O112" s="627"/>
    </row>
    <row r="113" spans="1:15" ht="21.75" customHeight="1" thickBot="1" x14ac:dyDescent="0.25">
      <c r="A113" s="1000"/>
      <c r="B113" s="1007"/>
      <c r="C113" s="970"/>
      <c r="D113" s="969"/>
      <c r="E113" s="969"/>
      <c r="F113" s="969"/>
      <c r="G113" s="969"/>
      <c r="H113" s="969"/>
      <c r="I113" s="969"/>
      <c r="J113" s="1115"/>
      <c r="K113" s="969"/>
      <c r="L113" s="1005"/>
      <c r="M113" s="1006"/>
      <c r="N113" s="1004"/>
      <c r="O113" s="627"/>
    </row>
    <row r="114" spans="1:15" ht="4.5" customHeight="1" thickBot="1" x14ac:dyDescent="0.25">
      <c r="A114" s="1000"/>
      <c r="B114" s="1007"/>
      <c r="C114" s="970"/>
      <c r="D114" s="969"/>
      <c r="E114" s="969"/>
      <c r="F114" s="969"/>
      <c r="G114" s="969"/>
      <c r="H114" s="969"/>
      <c r="I114" s="969"/>
      <c r="J114" s="1116"/>
      <c r="K114" s="969"/>
      <c r="L114" s="1005"/>
      <c r="M114" s="1006"/>
      <c r="N114" s="1004"/>
      <c r="O114" s="627"/>
    </row>
    <row r="115" spans="1:15" ht="48" customHeight="1" thickBot="1" x14ac:dyDescent="0.25">
      <c r="A115" s="1000"/>
      <c r="B115" s="1016" t="s">
        <v>340</v>
      </c>
      <c r="C115" s="538" t="s">
        <v>357</v>
      </c>
      <c r="D115" s="1022" t="s">
        <v>366</v>
      </c>
      <c r="E115" s="1023"/>
      <c r="F115" s="1023"/>
      <c r="G115" s="1023"/>
      <c r="H115" s="1023"/>
      <c r="I115" s="1024"/>
      <c r="J115" s="976" t="s">
        <v>13</v>
      </c>
      <c r="K115" s="991" t="s">
        <v>483</v>
      </c>
      <c r="L115" s="671"/>
      <c r="M115" s="542">
        <v>3.7499999999999999E-3</v>
      </c>
      <c r="N115" s="667">
        <f t="shared" ref="N115:N119" si="1">$D$11*M115</f>
        <v>26006.490620451408</v>
      </c>
      <c r="O115" s="627"/>
    </row>
    <row r="116" spans="1:15" ht="76.5" customHeight="1" thickBot="1" x14ac:dyDescent="0.25">
      <c r="A116" s="1000"/>
      <c r="B116" s="1017"/>
      <c r="C116" s="539" t="s">
        <v>358</v>
      </c>
      <c r="D116" s="1022" t="s">
        <v>367</v>
      </c>
      <c r="E116" s="1023"/>
      <c r="F116" s="1023"/>
      <c r="G116" s="1023"/>
      <c r="H116" s="1023"/>
      <c r="I116" s="1024"/>
      <c r="J116" s="1018"/>
      <c r="K116" s="1018"/>
      <c r="L116" s="671"/>
      <c r="M116" s="542">
        <v>3.7499999999999999E-3</v>
      </c>
      <c r="N116" s="667">
        <f t="shared" si="1"/>
        <v>26006.490620451408</v>
      </c>
      <c r="O116" s="627"/>
    </row>
    <row r="117" spans="1:15" ht="48" customHeight="1" thickBot="1" x14ac:dyDescent="0.25">
      <c r="A117" s="1000"/>
      <c r="B117" s="1017"/>
      <c r="C117" s="539" t="s">
        <v>359</v>
      </c>
      <c r="D117" s="1022" t="s">
        <v>368</v>
      </c>
      <c r="E117" s="1023"/>
      <c r="F117" s="1023"/>
      <c r="G117" s="1023"/>
      <c r="H117" s="1023"/>
      <c r="I117" s="1024"/>
      <c r="J117" s="1018"/>
      <c r="K117" s="1018"/>
      <c r="L117" s="671"/>
      <c r="M117" s="542">
        <v>3.7499999999999999E-3</v>
      </c>
      <c r="N117" s="667">
        <f t="shared" si="1"/>
        <v>26006.490620451408</v>
      </c>
      <c r="O117" s="627"/>
    </row>
    <row r="118" spans="1:15" ht="48" customHeight="1" thickBot="1" x14ac:dyDescent="0.25">
      <c r="A118" s="1000"/>
      <c r="B118" s="1017"/>
      <c r="C118" s="540" t="s">
        <v>360</v>
      </c>
      <c r="D118" s="1022" t="s">
        <v>369</v>
      </c>
      <c r="E118" s="1023"/>
      <c r="F118" s="1023"/>
      <c r="G118" s="1023"/>
      <c r="H118" s="1023"/>
      <c r="I118" s="1024"/>
      <c r="J118" s="1102"/>
      <c r="K118" s="1018"/>
      <c r="L118" s="671"/>
      <c r="M118" s="542">
        <v>3.7499999999999999E-3</v>
      </c>
      <c r="N118" s="667">
        <f t="shared" si="1"/>
        <v>26006.490620451408</v>
      </c>
      <c r="O118" s="627"/>
    </row>
    <row r="119" spans="1:15" ht="21" customHeight="1" x14ac:dyDescent="0.2">
      <c r="A119" s="1000"/>
      <c r="B119" s="976" t="s">
        <v>151</v>
      </c>
      <c r="C119" s="979">
        <f>'ES CT Electric Table A  '!Q20/1000</f>
        <v>3352.1724012745303</v>
      </c>
      <c r="D119" s="982" t="s">
        <v>535</v>
      </c>
      <c r="E119" s="983"/>
      <c r="F119" s="983"/>
      <c r="G119" s="983"/>
      <c r="H119" s="983"/>
      <c r="I119" s="984"/>
      <c r="J119" s="991"/>
      <c r="K119" s="991" t="s">
        <v>274</v>
      </c>
      <c r="L119" s="994" t="s">
        <v>545</v>
      </c>
      <c r="M119" s="1019">
        <v>1.4999999999999999E-2</v>
      </c>
      <c r="N119" s="1008">
        <f t="shared" si="1"/>
        <v>104025.96248180563</v>
      </c>
      <c r="O119" s="627"/>
    </row>
    <row r="120" spans="1:15" ht="105" customHeight="1" x14ac:dyDescent="0.2">
      <c r="A120" s="1000"/>
      <c r="B120" s="977"/>
      <c r="C120" s="980"/>
      <c r="D120" s="985"/>
      <c r="E120" s="986"/>
      <c r="F120" s="986"/>
      <c r="G120" s="986"/>
      <c r="H120" s="986"/>
      <c r="I120" s="987"/>
      <c r="J120" s="1018"/>
      <c r="K120" s="992"/>
      <c r="L120" s="995"/>
      <c r="M120" s="1020"/>
      <c r="N120" s="1009"/>
      <c r="O120" s="627"/>
    </row>
    <row r="121" spans="1:15" ht="21.75" customHeight="1" thickBot="1" x14ac:dyDescent="0.25">
      <c r="A121" s="1000"/>
      <c r="B121" s="978"/>
      <c r="C121" s="981"/>
      <c r="D121" s="988"/>
      <c r="E121" s="989"/>
      <c r="F121" s="989"/>
      <c r="G121" s="989"/>
      <c r="H121" s="989"/>
      <c r="I121" s="990"/>
      <c r="J121" s="1102"/>
      <c r="K121" s="993"/>
      <c r="L121" s="996"/>
      <c r="M121" s="1021"/>
      <c r="N121" s="1010"/>
      <c r="O121" s="627"/>
    </row>
    <row r="122" spans="1:15" ht="71.25" customHeight="1" thickBot="1" x14ac:dyDescent="0.25">
      <c r="A122" s="1000"/>
      <c r="B122" s="647" t="s">
        <v>361</v>
      </c>
      <c r="C122" s="648"/>
      <c r="D122" s="1001" t="s">
        <v>362</v>
      </c>
      <c r="E122" s="1002"/>
      <c r="F122" s="1002"/>
      <c r="G122" s="1002"/>
      <c r="H122" s="1002"/>
      <c r="I122" s="1003"/>
      <c r="J122" s="665"/>
      <c r="K122" s="642" t="s">
        <v>363</v>
      </c>
      <c r="L122" s="663" t="s">
        <v>364</v>
      </c>
      <c r="M122" s="541">
        <v>0.01</v>
      </c>
      <c r="N122" s="668">
        <f>$D$11*M122</f>
        <v>69350.641654537088</v>
      </c>
      <c r="O122" s="627"/>
    </row>
    <row r="123" spans="1:15" ht="26.25" customHeight="1" thickBot="1" x14ac:dyDescent="0.3">
      <c r="A123" s="1000"/>
      <c r="B123" s="964" t="s">
        <v>82</v>
      </c>
      <c r="C123" s="965"/>
      <c r="D123" s="965"/>
      <c r="E123" s="965"/>
      <c r="F123" s="965"/>
      <c r="G123" s="965"/>
      <c r="H123" s="965"/>
      <c r="I123" s="965"/>
      <c r="J123" s="965"/>
      <c r="K123" s="965"/>
      <c r="L123" s="966"/>
      <c r="M123" s="455">
        <f>SUM(M31:M122)</f>
        <v>1.0000000000000002</v>
      </c>
      <c r="N123" s="456">
        <f>SUM(N31:N122)</f>
        <v>6935064.1654537069</v>
      </c>
      <c r="O123" s="628"/>
    </row>
    <row r="124" spans="1:15" ht="38.25" customHeight="1" x14ac:dyDescent="0.25">
      <c r="B124" s="58"/>
      <c r="C124" s="58"/>
      <c r="D124" s="152"/>
      <c r="E124" s="58"/>
      <c r="F124" s="58"/>
      <c r="G124" s="58"/>
      <c r="H124" s="58"/>
      <c r="I124" s="58"/>
      <c r="J124" s="58"/>
      <c r="K124" s="58"/>
      <c r="L124" s="58"/>
      <c r="M124" s="59"/>
      <c r="N124" s="60"/>
      <c r="O124" s="60"/>
    </row>
    <row r="125" spans="1:15" ht="21.75" customHeight="1" x14ac:dyDescent="0.25">
      <c r="B125" s="58"/>
      <c r="C125" s="58"/>
      <c r="D125" s="58"/>
      <c r="E125" s="58"/>
      <c r="F125" s="616"/>
      <c r="G125" s="617"/>
      <c r="H125" s="58"/>
      <c r="I125" s="58"/>
      <c r="J125" s="58"/>
      <c r="K125" s="58"/>
      <c r="L125" s="58"/>
      <c r="M125" s="59"/>
      <c r="N125" s="60"/>
      <c r="O125" s="60"/>
    </row>
    <row r="126" spans="1:15" ht="30" customHeight="1" x14ac:dyDescent="0.25">
      <c r="B126" s="58"/>
      <c r="C126" s="58"/>
      <c r="D126" s="58"/>
      <c r="E126" s="58"/>
      <c r="F126" s="616"/>
      <c r="G126" s="617"/>
      <c r="H126" s="58"/>
      <c r="I126" s="58"/>
      <c r="J126" s="58"/>
      <c r="K126" s="58"/>
      <c r="L126" s="58"/>
      <c r="M126" s="59"/>
      <c r="N126" s="60"/>
      <c r="O126" s="60"/>
    </row>
    <row r="127" spans="1:15" ht="18.75" customHeight="1" x14ac:dyDescent="0.25">
      <c r="B127" s="58"/>
      <c r="C127" s="58"/>
      <c r="D127" s="58"/>
      <c r="E127" s="615"/>
      <c r="F127" s="616"/>
      <c r="G127" s="617"/>
      <c r="H127" s="58"/>
      <c r="I127" s="58"/>
      <c r="J127" s="58"/>
      <c r="K127" s="58"/>
      <c r="L127" s="58"/>
      <c r="M127" s="59"/>
      <c r="N127" s="60"/>
      <c r="O127" s="60"/>
    </row>
    <row r="128" spans="1:15" ht="18.75" customHeight="1" x14ac:dyDescent="0.25">
      <c r="B128" s="58"/>
      <c r="C128" s="58"/>
      <c r="D128" s="58"/>
      <c r="E128" s="58"/>
      <c r="F128" s="58"/>
      <c r="G128" s="58"/>
      <c r="H128" s="58"/>
      <c r="I128" s="58"/>
      <c r="J128" s="58"/>
      <c r="K128" s="58"/>
      <c r="L128" s="58"/>
      <c r="M128" s="59"/>
      <c r="N128" s="60"/>
      <c r="O128" s="60"/>
    </row>
    <row r="129" spans="2:15" ht="18.75" customHeight="1" x14ac:dyDescent="0.25">
      <c r="B129" s="58"/>
      <c r="C129" s="58"/>
      <c r="D129" s="58"/>
      <c r="E129" s="58"/>
      <c r="F129" s="58"/>
      <c r="G129" s="58"/>
      <c r="H129" s="58"/>
      <c r="I129" s="58"/>
      <c r="J129" s="58"/>
      <c r="K129" s="58"/>
      <c r="L129" s="58"/>
      <c r="M129" s="59"/>
      <c r="N129" s="60"/>
      <c r="O129" s="60"/>
    </row>
    <row r="130" spans="2:15" ht="30.75" customHeight="1" x14ac:dyDescent="0.25">
      <c r="B130" s="58"/>
      <c r="C130" s="58"/>
      <c r="D130" s="58"/>
      <c r="E130" s="58"/>
      <c r="F130" s="58"/>
      <c r="G130" s="58"/>
      <c r="H130" s="58"/>
      <c r="I130" s="58"/>
      <c r="J130" s="58"/>
      <c r="K130" s="58"/>
      <c r="L130" s="58"/>
      <c r="M130" s="59"/>
      <c r="N130" s="60"/>
      <c r="O130" s="60"/>
    </row>
    <row r="131" spans="2:15" ht="18.75" customHeight="1" x14ac:dyDescent="0.25">
      <c r="B131" s="58"/>
      <c r="C131" s="58"/>
      <c r="D131" s="58"/>
      <c r="E131" s="58"/>
      <c r="F131" s="58"/>
      <c r="G131" s="58"/>
      <c r="H131" s="58"/>
      <c r="I131" s="58"/>
      <c r="J131" s="58"/>
      <c r="K131" s="58"/>
      <c r="L131" s="58"/>
      <c r="M131" s="59"/>
      <c r="N131" s="60"/>
      <c r="O131" s="60"/>
    </row>
    <row r="132" spans="2:15" ht="18.75" customHeight="1" x14ac:dyDescent="0.25">
      <c r="B132" s="58"/>
      <c r="C132" s="58"/>
      <c r="D132" s="58"/>
      <c r="E132" s="58"/>
      <c r="F132" s="58"/>
      <c r="G132" s="58"/>
      <c r="H132" s="58"/>
      <c r="I132" s="58"/>
      <c r="J132" s="58"/>
      <c r="K132" s="58"/>
      <c r="L132" s="58"/>
      <c r="M132" s="59"/>
      <c r="N132" s="60"/>
      <c r="O132" s="60"/>
    </row>
    <row r="133" spans="2:15" ht="18.75" customHeight="1" x14ac:dyDescent="0.25">
      <c r="B133" s="58"/>
      <c r="C133" s="58"/>
      <c r="D133" s="58"/>
      <c r="E133" s="58"/>
      <c r="F133" s="58"/>
      <c r="G133" s="58"/>
      <c r="H133" s="58"/>
      <c r="I133" s="58"/>
      <c r="J133" s="58"/>
      <c r="K133" s="58"/>
      <c r="L133" s="58"/>
      <c r="M133" s="59"/>
      <c r="N133" s="60"/>
      <c r="O133" s="60"/>
    </row>
    <row r="134" spans="2:15" ht="23.25" customHeight="1" x14ac:dyDescent="0.25">
      <c r="B134" s="58"/>
      <c r="C134" s="58"/>
      <c r="D134" s="58"/>
      <c r="E134" s="58"/>
      <c r="F134" s="58"/>
      <c r="G134" s="58"/>
      <c r="H134" s="58"/>
      <c r="I134" s="58"/>
      <c r="J134" s="58"/>
      <c r="K134" s="58"/>
      <c r="L134" s="58"/>
      <c r="M134" s="59"/>
      <c r="N134" s="60"/>
      <c r="O134" s="60"/>
    </row>
    <row r="135" spans="2:15" ht="19.5" customHeight="1" x14ac:dyDescent="0.25">
      <c r="B135" s="58"/>
      <c r="C135" s="58"/>
      <c r="D135" s="58"/>
      <c r="E135" s="58"/>
      <c r="F135" s="58"/>
      <c r="G135" s="58"/>
      <c r="H135" s="58"/>
      <c r="I135" s="58"/>
      <c r="J135" s="58"/>
      <c r="K135" s="58"/>
      <c r="L135" s="58"/>
      <c r="M135" s="59"/>
      <c r="N135" s="60"/>
      <c r="O135" s="60"/>
    </row>
    <row r="136" spans="2:15" ht="15" x14ac:dyDescent="0.25">
      <c r="B136" s="58"/>
      <c r="C136" s="58"/>
      <c r="D136" s="58"/>
      <c r="E136" s="58"/>
      <c r="F136" s="58"/>
      <c r="G136" s="58"/>
      <c r="H136" s="58"/>
      <c r="I136" s="58"/>
      <c r="J136" s="58"/>
      <c r="K136" s="58"/>
      <c r="L136" s="58"/>
      <c r="M136" s="59"/>
      <c r="N136" s="60"/>
      <c r="O136" s="60"/>
    </row>
    <row r="137" spans="2:15" ht="15" x14ac:dyDescent="0.25">
      <c r="B137" s="58"/>
      <c r="C137" s="58"/>
      <c r="D137" s="58"/>
      <c r="E137" s="58"/>
      <c r="F137" s="58"/>
      <c r="G137" s="58"/>
      <c r="H137" s="58"/>
      <c r="I137" s="58"/>
      <c r="J137" s="58"/>
      <c r="K137" s="58"/>
      <c r="L137" s="58"/>
      <c r="M137" s="59"/>
      <c r="N137" s="60"/>
      <c r="O137" s="60"/>
    </row>
    <row r="138" spans="2:15" ht="15" x14ac:dyDescent="0.25">
      <c r="B138" s="58"/>
      <c r="C138" s="58"/>
      <c r="D138" s="58"/>
      <c r="E138" s="58"/>
      <c r="F138" s="58"/>
      <c r="G138" s="58"/>
      <c r="H138" s="58"/>
      <c r="I138" s="58"/>
      <c r="J138" s="58"/>
      <c r="K138" s="58"/>
      <c r="L138" s="58"/>
      <c r="M138" s="59"/>
      <c r="N138" s="60"/>
      <c r="O138" s="60"/>
    </row>
    <row r="139" spans="2:15" ht="15" x14ac:dyDescent="0.25">
      <c r="B139" s="58"/>
      <c r="C139" s="58"/>
      <c r="D139" s="58"/>
      <c r="E139" s="58"/>
      <c r="F139" s="58"/>
      <c r="G139" s="58"/>
      <c r="H139" s="58"/>
      <c r="I139" s="58"/>
      <c r="J139" s="58"/>
      <c r="K139" s="58"/>
      <c r="L139" s="58"/>
      <c r="M139" s="59"/>
      <c r="N139" s="60"/>
      <c r="O139" s="60"/>
    </row>
    <row r="140" spans="2:15" ht="15" x14ac:dyDescent="0.25">
      <c r="B140" s="58"/>
      <c r="C140" s="58"/>
      <c r="D140" s="58"/>
      <c r="E140" s="58"/>
      <c r="F140" s="58"/>
      <c r="G140" s="58"/>
      <c r="H140" s="58"/>
      <c r="I140" s="58"/>
      <c r="J140" s="58"/>
      <c r="K140" s="58"/>
      <c r="L140" s="58"/>
      <c r="M140" s="59"/>
      <c r="N140" s="60"/>
      <c r="O140" s="60"/>
    </row>
    <row r="141" spans="2:15" ht="15" x14ac:dyDescent="0.25">
      <c r="B141" s="58"/>
      <c r="C141" s="58"/>
      <c r="D141" s="58"/>
      <c r="E141" s="58"/>
      <c r="F141" s="58"/>
      <c r="G141" s="58"/>
      <c r="H141" s="58"/>
      <c r="I141" s="58"/>
      <c r="J141" s="58"/>
      <c r="K141" s="58"/>
      <c r="L141" s="58"/>
      <c r="M141" s="59"/>
      <c r="N141" s="60"/>
      <c r="O141" s="60"/>
    </row>
    <row r="142" spans="2:15" ht="15" x14ac:dyDescent="0.25">
      <c r="B142" s="58"/>
      <c r="C142" s="58"/>
      <c r="D142" s="58"/>
      <c r="E142" s="58"/>
      <c r="F142" s="58"/>
      <c r="G142" s="58"/>
      <c r="H142" s="58"/>
      <c r="I142" s="58"/>
      <c r="J142" s="58"/>
      <c r="K142" s="58"/>
      <c r="L142" s="58"/>
      <c r="M142" s="59"/>
      <c r="N142" s="60"/>
      <c r="O142" s="60"/>
    </row>
    <row r="143" spans="2:15" ht="15" x14ac:dyDescent="0.25">
      <c r="B143" s="58"/>
      <c r="C143" s="58"/>
      <c r="D143" s="58"/>
      <c r="E143" s="58"/>
      <c r="F143" s="58"/>
      <c r="G143" s="58"/>
      <c r="H143" s="58"/>
      <c r="I143" s="58"/>
      <c r="J143" s="58"/>
      <c r="K143" s="58"/>
      <c r="L143" s="58"/>
      <c r="M143" s="59"/>
      <c r="N143" s="60"/>
      <c r="O143" s="60"/>
    </row>
    <row r="144" spans="2:15" ht="15" x14ac:dyDescent="0.25">
      <c r="B144" s="58"/>
      <c r="C144" s="58"/>
      <c r="D144" s="58"/>
      <c r="E144" s="58"/>
      <c r="F144" s="58"/>
      <c r="G144" s="58"/>
      <c r="H144" s="58"/>
      <c r="I144" s="58"/>
      <c r="J144" s="58"/>
      <c r="K144" s="58"/>
      <c r="L144" s="58"/>
      <c r="M144" s="59"/>
      <c r="N144" s="60"/>
      <c r="O144" s="60"/>
    </row>
    <row r="145" spans="2:15" ht="15" x14ac:dyDescent="0.25">
      <c r="B145" s="58"/>
      <c r="C145" s="58"/>
      <c r="D145" s="58"/>
      <c r="E145" s="58"/>
      <c r="F145" s="58"/>
      <c r="G145" s="58"/>
      <c r="H145" s="58"/>
      <c r="I145" s="58"/>
      <c r="J145" s="58"/>
      <c r="K145" s="58"/>
      <c r="L145" s="58"/>
      <c r="M145" s="59"/>
      <c r="N145" s="60"/>
      <c r="O145" s="60"/>
    </row>
    <row r="146" spans="2:15" ht="15" x14ac:dyDescent="0.25">
      <c r="B146" s="58"/>
      <c r="C146" s="58"/>
      <c r="D146" s="58"/>
      <c r="E146" s="58"/>
      <c r="F146" s="58"/>
      <c r="G146" s="58"/>
      <c r="H146" s="58"/>
      <c r="I146" s="58"/>
      <c r="J146" s="58"/>
      <c r="K146" s="58"/>
      <c r="L146" s="58"/>
      <c r="M146" s="59"/>
      <c r="N146" s="60"/>
      <c r="O146" s="60"/>
    </row>
    <row r="147" spans="2:15" ht="15" x14ac:dyDescent="0.25">
      <c r="B147" s="58"/>
      <c r="C147" s="58"/>
      <c r="D147" s="58"/>
      <c r="E147" s="58"/>
      <c r="F147" s="58"/>
      <c r="G147" s="58"/>
      <c r="H147" s="58"/>
      <c r="I147" s="58"/>
      <c r="J147" s="58"/>
      <c r="K147" s="58"/>
      <c r="L147" s="58"/>
      <c r="M147" s="59"/>
      <c r="N147" s="60"/>
      <c r="O147" s="60"/>
    </row>
  </sheetData>
  <mergeCells count="223">
    <mergeCell ref="D118:I118"/>
    <mergeCell ref="M119:M121"/>
    <mergeCell ref="N119:N121"/>
    <mergeCell ref="D122:I122"/>
    <mergeCell ref="B123:L123"/>
    <mergeCell ref="B119:B121"/>
    <mergeCell ref="C119:C121"/>
    <mergeCell ref="D119:I121"/>
    <mergeCell ref="J119:J121"/>
    <mergeCell ref="K119:K121"/>
    <mergeCell ref="L119:L121"/>
    <mergeCell ref="M97:M101"/>
    <mergeCell ref="N102:N107"/>
    <mergeCell ref="B108:B114"/>
    <mergeCell ref="C108:C114"/>
    <mergeCell ref="D108:F108"/>
    <mergeCell ref="G108:H108"/>
    <mergeCell ref="I108:I109"/>
    <mergeCell ref="J108:J109"/>
    <mergeCell ref="L110:L114"/>
    <mergeCell ref="M110:M114"/>
    <mergeCell ref="N110:N114"/>
    <mergeCell ref="K108:K109"/>
    <mergeCell ref="L108:L109"/>
    <mergeCell ref="M108:M109"/>
    <mergeCell ref="N108:N109"/>
    <mergeCell ref="D109:F109"/>
    <mergeCell ref="G109:H109"/>
    <mergeCell ref="D110:I114"/>
    <mergeCell ref="N97:N101"/>
    <mergeCell ref="J110:J114"/>
    <mergeCell ref="K110:K114"/>
    <mergeCell ref="M102:M107"/>
    <mergeCell ref="A102:A123"/>
    <mergeCell ref="B102:B107"/>
    <mergeCell ref="C102:C107"/>
    <mergeCell ref="D102:I107"/>
    <mergeCell ref="J102:J107"/>
    <mergeCell ref="A82:A101"/>
    <mergeCell ref="K102:K107"/>
    <mergeCell ref="L102:L107"/>
    <mergeCell ref="D93:H93"/>
    <mergeCell ref="B94:B95"/>
    <mergeCell ref="D96:G96"/>
    <mergeCell ref="B97:B101"/>
    <mergeCell ref="C97:C101"/>
    <mergeCell ref="D97:I101"/>
    <mergeCell ref="L84:L85"/>
    <mergeCell ref="J97:J101"/>
    <mergeCell ref="K97:K101"/>
    <mergeCell ref="L97:L101"/>
    <mergeCell ref="B115:B118"/>
    <mergeCell ref="D115:I115"/>
    <mergeCell ref="J115:J118"/>
    <mergeCell ref="K115:K118"/>
    <mergeCell ref="D116:I116"/>
    <mergeCell ref="D117:I117"/>
    <mergeCell ref="L82:L83"/>
    <mergeCell ref="M82:M83"/>
    <mergeCell ref="N82:N83"/>
    <mergeCell ref="M84:M92"/>
    <mergeCell ref="N84:N92"/>
    <mergeCell ref="N76:N81"/>
    <mergeCell ref="L72:L75"/>
    <mergeCell ref="M72:M75"/>
    <mergeCell ref="N72:N75"/>
    <mergeCell ref="L86:L92"/>
    <mergeCell ref="C84:C92"/>
    <mergeCell ref="E84:F84"/>
    <mergeCell ref="G84:H84"/>
    <mergeCell ref="K84:K92"/>
    <mergeCell ref="B82:C83"/>
    <mergeCell ref="D82:D83"/>
    <mergeCell ref="E82:F83"/>
    <mergeCell ref="G82:H83"/>
    <mergeCell ref="I82:I83"/>
    <mergeCell ref="E88:F88"/>
    <mergeCell ref="G88:H88"/>
    <mergeCell ref="D89:I89"/>
    <mergeCell ref="D92:H92"/>
    <mergeCell ref="E85:F85"/>
    <mergeCell ref="G85:H85"/>
    <mergeCell ref="E86:F86"/>
    <mergeCell ref="J82:J83"/>
    <mergeCell ref="K82:K83"/>
    <mergeCell ref="G86:H86"/>
    <mergeCell ref="E87:F87"/>
    <mergeCell ref="G87:H87"/>
    <mergeCell ref="B84:B92"/>
    <mergeCell ref="M65:M68"/>
    <mergeCell ref="D69:I69"/>
    <mergeCell ref="B63:B71"/>
    <mergeCell ref="C63:C71"/>
    <mergeCell ref="K58:K62"/>
    <mergeCell ref="L58:L62"/>
    <mergeCell ref="M58:M62"/>
    <mergeCell ref="B76:B81"/>
    <mergeCell ref="C76:C81"/>
    <mergeCell ref="D76:F76"/>
    <mergeCell ref="G76:H76"/>
    <mergeCell ref="I76:I77"/>
    <mergeCell ref="J76:J81"/>
    <mergeCell ref="K76:K81"/>
    <mergeCell ref="J70:J71"/>
    <mergeCell ref="K70:K71"/>
    <mergeCell ref="B72:B75"/>
    <mergeCell ref="C72:C75"/>
    <mergeCell ref="D72:I75"/>
    <mergeCell ref="J72:J75"/>
    <mergeCell ref="K72:K75"/>
    <mergeCell ref="L76:L81"/>
    <mergeCell ref="M76:M81"/>
    <mergeCell ref="D77:F77"/>
    <mergeCell ref="N58:N62"/>
    <mergeCell ref="D63:F63"/>
    <mergeCell ref="G63:H63"/>
    <mergeCell ref="I63:I64"/>
    <mergeCell ref="L70:L71"/>
    <mergeCell ref="M70:M71"/>
    <mergeCell ref="N70:N71"/>
    <mergeCell ref="N65:N68"/>
    <mergeCell ref="J56:J57"/>
    <mergeCell ref="K56:K57"/>
    <mergeCell ref="L56:L57"/>
    <mergeCell ref="M56:M57"/>
    <mergeCell ref="N56:N57"/>
    <mergeCell ref="D57:F57"/>
    <mergeCell ref="G57:H57"/>
    <mergeCell ref="J63:J64"/>
    <mergeCell ref="K63:K64"/>
    <mergeCell ref="L63:L64"/>
    <mergeCell ref="M63:M64"/>
    <mergeCell ref="N63:N64"/>
    <mergeCell ref="J58:J62"/>
    <mergeCell ref="J65:J68"/>
    <mergeCell ref="K65:K68"/>
    <mergeCell ref="L65:L68"/>
    <mergeCell ref="A56:A81"/>
    <mergeCell ref="B56:B62"/>
    <mergeCell ref="C56:C62"/>
    <mergeCell ref="D56:F56"/>
    <mergeCell ref="G56:H56"/>
    <mergeCell ref="I56:I57"/>
    <mergeCell ref="D58:I62"/>
    <mergeCell ref="D65:I68"/>
    <mergeCell ref="D70:I71"/>
    <mergeCell ref="D64:F64"/>
    <mergeCell ref="G64:H64"/>
    <mergeCell ref="G77:H77"/>
    <mergeCell ref="D78:I81"/>
    <mergeCell ref="J51:J53"/>
    <mergeCell ref="K51:K53"/>
    <mergeCell ref="L51:L53"/>
    <mergeCell ref="M51:M53"/>
    <mergeCell ref="N51:N53"/>
    <mergeCell ref="D54:I54"/>
    <mergeCell ref="I49:I50"/>
    <mergeCell ref="J49:J50"/>
    <mergeCell ref="K49:K50"/>
    <mergeCell ref="L49:L50"/>
    <mergeCell ref="M49:M50"/>
    <mergeCell ref="N49:N50"/>
    <mergeCell ref="B46:B47"/>
    <mergeCell ref="D48:G48"/>
    <mergeCell ref="B49:B55"/>
    <mergeCell ref="C49:C55"/>
    <mergeCell ref="D49:F49"/>
    <mergeCell ref="G49:H49"/>
    <mergeCell ref="D50:F50"/>
    <mergeCell ref="G50:H50"/>
    <mergeCell ref="D51:I53"/>
    <mergeCell ref="D55:I55"/>
    <mergeCell ref="D45:G45"/>
    <mergeCell ref="H45:I45"/>
    <mergeCell ref="E37:F37"/>
    <mergeCell ref="G37:H37"/>
    <mergeCell ref="E38:F38"/>
    <mergeCell ref="G38:H38"/>
    <mergeCell ref="D39:I39"/>
    <mergeCell ref="E40:F40"/>
    <mergeCell ref="G40:H40"/>
    <mergeCell ref="D31:J32"/>
    <mergeCell ref="K31:K44"/>
    <mergeCell ref="L31:L34"/>
    <mergeCell ref="M31:M44"/>
    <mergeCell ref="N31:N44"/>
    <mergeCell ref="E33:F33"/>
    <mergeCell ref="G33:H33"/>
    <mergeCell ref="E34:F34"/>
    <mergeCell ref="G34:H34"/>
    <mergeCell ref="E35:F35"/>
    <mergeCell ref="G35:H35"/>
    <mergeCell ref="L35:L44"/>
    <mergeCell ref="E36:F36"/>
    <mergeCell ref="G36:H36"/>
    <mergeCell ref="D41:I41"/>
    <mergeCell ref="E43:F43"/>
    <mergeCell ref="G43:H43"/>
    <mergeCell ref="D44:I44"/>
    <mergeCell ref="A2:A24"/>
    <mergeCell ref="B2:N2"/>
    <mergeCell ref="B3:N4"/>
    <mergeCell ref="B5:N5"/>
    <mergeCell ref="B6:D6"/>
    <mergeCell ref="E6:N24"/>
    <mergeCell ref="C16:D16"/>
    <mergeCell ref="B18:D24"/>
    <mergeCell ref="A26:A55"/>
    <mergeCell ref="B26:C27"/>
    <mergeCell ref="D26:I27"/>
    <mergeCell ref="K26:N26"/>
    <mergeCell ref="B28:N28"/>
    <mergeCell ref="B29:C30"/>
    <mergeCell ref="D29:D30"/>
    <mergeCell ref="E29:F30"/>
    <mergeCell ref="G29:H30"/>
    <mergeCell ref="I29:I30"/>
    <mergeCell ref="K29:K30"/>
    <mergeCell ref="L29:L30"/>
    <mergeCell ref="M29:M30"/>
    <mergeCell ref="N29:N30"/>
    <mergeCell ref="B31:B44"/>
    <mergeCell ref="C31:C44"/>
  </mergeCells>
  <printOptions horizontalCentered="1"/>
  <pageMargins left="0" right="0" top="1" bottom="0.5" header="0.5" footer="0.5"/>
  <pageSetup scale="49" fitToHeight="5" orientation="landscape"/>
  <headerFooter alignWithMargins="0">
    <oddHeader xml:space="preserve">&amp;C&amp;"Arial,Bold"&amp;14EVERSOURCE CT ELECTRIC - 2022 PERFORMANCE INCENTIVE
&amp;"Arial,Regular"&amp;11(Some Monetary Values in Thousands of Dollars) &amp;"Arial,Bold"&amp;14
</oddHeader>
    <oddFooter xml:space="preserve">&amp;CTotals may vary due to rounding
</oddFooter>
  </headerFooter>
  <rowBreaks count="4" manualBreakCount="4">
    <brk id="25" min="1" max="12" man="1"/>
    <brk id="55" min="1" max="12" man="1"/>
    <brk id="81" max="16383" man="1"/>
    <brk id="107" min="1" max="12" man="1"/>
  </rowBreak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93DC-7358-47E6-974C-C923650CBC51}">
  <sheetPr>
    <tabColor indexed="33"/>
  </sheetPr>
  <dimension ref="A2:R141"/>
  <sheetViews>
    <sheetView topLeftCell="B2" zoomScaleNormal="100" zoomScalePageLayoutView="80" workbookViewId="0">
      <selection activeCell="B5" sqref="B5:M5"/>
    </sheetView>
  </sheetViews>
  <sheetFormatPr defaultRowHeight="12.75" x14ac:dyDescent="0.2"/>
  <cols>
    <col min="2" max="2" width="27.7109375" customWidth="1"/>
    <col min="3" max="3" width="20.5703125" customWidth="1"/>
    <col min="4" max="4" width="26.5703125" customWidth="1"/>
    <col min="5" max="5" width="20.140625" bestFit="1" customWidth="1"/>
    <col min="6" max="6" width="10.28515625" customWidth="1"/>
    <col min="7" max="7" width="20.140625" bestFit="1" customWidth="1"/>
    <col min="8" max="8" width="8.28515625" customWidth="1"/>
    <col min="9" max="9" width="27.42578125" customWidth="1"/>
    <col min="10" max="10" width="30.7109375" customWidth="1"/>
    <col min="11" max="11" width="26.7109375" customWidth="1"/>
    <col min="12" max="12" width="13" style="583" bestFit="1" customWidth="1"/>
    <col min="13" max="13" width="17.5703125" style="147" customWidth="1"/>
    <col min="16" max="16" width="7.5703125" customWidth="1"/>
    <col min="17" max="17" width="0.5703125" customWidth="1"/>
    <col min="18" max="18" width="11.5703125" bestFit="1" customWidth="1"/>
  </cols>
  <sheetData>
    <row r="2" spans="1:17" ht="22.5" customHeight="1" x14ac:dyDescent="0.35">
      <c r="A2" s="955"/>
      <c r="B2" s="1046" t="s">
        <v>176</v>
      </c>
      <c r="C2" s="1046"/>
      <c r="D2" s="1046"/>
      <c r="E2" s="1046"/>
      <c r="F2" s="1046"/>
      <c r="G2" s="1046"/>
      <c r="H2" s="1046"/>
      <c r="I2" s="1046"/>
      <c r="J2" s="1046"/>
      <c r="K2" s="1046"/>
      <c r="L2" s="1046"/>
      <c r="M2" s="1046"/>
      <c r="N2" s="41"/>
      <c r="O2" s="41"/>
    </row>
    <row r="3" spans="1:17" ht="24" customHeight="1" x14ac:dyDescent="0.2">
      <c r="A3" s="955"/>
      <c r="B3" s="1046" t="s">
        <v>426</v>
      </c>
      <c r="C3" s="1046"/>
      <c r="D3" s="1046"/>
      <c r="E3" s="1046"/>
      <c r="F3" s="1046"/>
      <c r="G3" s="1046"/>
      <c r="H3" s="1046"/>
      <c r="I3" s="1046"/>
      <c r="J3" s="1046"/>
      <c r="K3" s="1046"/>
      <c r="L3" s="1046"/>
      <c r="M3" s="1046"/>
      <c r="N3" s="41"/>
      <c r="O3" s="41"/>
    </row>
    <row r="4" spans="1:17" ht="9.75" customHeight="1" x14ac:dyDescent="0.2">
      <c r="A4" s="955"/>
      <c r="B4" s="1046"/>
      <c r="C4" s="1046"/>
      <c r="D4" s="1046"/>
      <c r="E4" s="1046"/>
      <c r="F4" s="1046"/>
      <c r="G4" s="1046"/>
      <c r="H4" s="1046"/>
      <c r="I4" s="1046"/>
      <c r="J4" s="1046"/>
      <c r="K4" s="1046"/>
      <c r="L4" s="1046"/>
      <c r="M4" s="1046"/>
      <c r="N4" s="41"/>
      <c r="O4" s="41"/>
    </row>
    <row r="5" spans="1:17" s="582" customFormat="1" ht="129.75" customHeight="1" x14ac:dyDescent="0.25">
      <c r="A5" s="955"/>
      <c r="B5" s="1085" t="s">
        <v>427</v>
      </c>
      <c r="C5" s="1085"/>
      <c r="D5" s="1085"/>
      <c r="E5" s="1085"/>
      <c r="F5" s="1085"/>
      <c r="G5" s="1085"/>
      <c r="H5" s="1085"/>
      <c r="I5" s="1085"/>
      <c r="J5" s="1085"/>
      <c r="K5" s="1085"/>
      <c r="L5" s="1085"/>
      <c r="M5" s="1085"/>
      <c r="N5" s="148"/>
      <c r="O5" s="148"/>
      <c r="P5" s="57"/>
      <c r="Q5" s="57"/>
    </row>
    <row r="6" spans="1:17" ht="28.5" customHeight="1" x14ac:dyDescent="0.25">
      <c r="A6" s="955"/>
      <c r="B6" s="1050" t="s">
        <v>89</v>
      </c>
      <c r="C6" s="1050"/>
      <c r="D6" s="1050"/>
      <c r="E6" s="1047"/>
      <c r="F6" s="1047"/>
      <c r="G6" s="1047"/>
      <c r="H6" s="1047"/>
      <c r="I6" s="1047"/>
      <c r="J6" s="1047"/>
      <c r="K6" s="1047"/>
      <c r="L6" s="1047"/>
      <c r="M6" s="1047"/>
      <c r="N6" s="41"/>
      <c r="O6" s="41"/>
    </row>
    <row r="7" spans="1:17" ht="36.75" customHeight="1" x14ac:dyDescent="0.2">
      <c r="A7" s="955"/>
      <c r="B7" s="426" t="s">
        <v>313</v>
      </c>
      <c r="C7" s="426" t="s">
        <v>62</v>
      </c>
      <c r="D7" s="426" t="s">
        <v>63</v>
      </c>
      <c r="E7" s="1047"/>
      <c r="F7" s="1047"/>
      <c r="G7" s="1047"/>
      <c r="H7" s="1047"/>
      <c r="I7" s="1047"/>
      <c r="J7" s="1047"/>
      <c r="K7" s="1047"/>
      <c r="L7" s="1047"/>
      <c r="M7" s="1047"/>
      <c r="N7" s="41"/>
      <c r="O7" s="41"/>
    </row>
    <row r="8" spans="1:17" ht="30" customHeight="1" x14ac:dyDescent="0.2">
      <c r="A8" s="955"/>
      <c r="B8" s="427">
        <v>75</v>
      </c>
      <c r="C8" s="607">
        <v>2.5000000000000001E-2</v>
      </c>
      <c r="D8" s="429">
        <f t="shared" ref="D8:D14" si="0">C8*$C$17</f>
        <v>3444257.449976854</v>
      </c>
      <c r="E8" s="1047"/>
      <c r="F8" s="1047"/>
      <c r="G8" s="1047"/>
      <c r="H8" s="1047"/>
      <c r="I8" s="1047"/>
      <c r="J8" s="1047"/>
      <c r="K8" s="1047"/>
      <c r="L8" s="1047"/>
      <c r="M8" s="1047"/>
      <c r="N8" s="41"/>
      <c r="O8" s="41"/>
    </row>
    <row r="9" spans="1:17" ht="30" customHeight="1" x14ac:dyDescent="0.2">
      <c r="A9" s="955"/>
      <c r="B9" s="427">
        <v>85</v>
      </c>
      <c r="C9" s="607">
        <v>3.5000000000000003E-2</v>
      </c>
      <c r="D9" s="429">
        <f t="shared" si="0"/>
        <v>4821960.4299675962</v>
      </c>
      <c r="E9" s="1047"/>
      <c r="F9" s="1047"/>
      <c r="G9" s="1047"/>
      <c r="H9" s="1047"/>
      <c r="I9" s="1047"/>
      <c r="J9" s="1047"/>
      <c r="K9" s="1047"/>
      <c r="L9" s="1047"/>
      <c r="M9" s="1047"/>
      <c r="N9" s="41"/>
      <c r="O9" s="149"/>
    </row>
    <row r="10" spans="1:17" ht="30" customHeight="1" x14ac:dyDescent="0.2">
      <c r="A10" s="955"/>
      <c r="B10" s="427">
        <v>95</v>
      </c>
      <c r="C10" s="607">
        <v>4.4999999999999998E-2</v>
      </c>
      <c r="D10" s="429">
        <f t="shared" si="0"/>
        <v>6199663.4099583374</v>
      </c>
      <c r="E10" s="1047"/>
      <c r="F10" s="1047"/>
      <c r="G10" s="1047"/>
      <c r="H10" s="1047"/>
      <c r="I10" s="1047"/>
      <c r="J10" s="1047"/>
      <c r="K10" s="1047"/>
      <c r="L10" s="1047"/>
      <c r="M10" s="1047"/>
      <c r="N10" s="41"/>
      <c r="O10" s="41"/>
    </row>
    <row r="11" spans="1:17" ht="30" customHeight="1" x14ac:dyDescent="0.2">
      <c r="A11" s="955"/>
      <c r="B11" s="430">
        <v>100</v>
      </c>
      <c r="C11" s="431">
        <v>0.05</v>
      </c>
      <c r="D11" s="432">
        <f>C11*$C$17</f>
        <v>6888514.8999537081</v>
      </c>
      <c r="E11" s="1047"/>
      <c r="F11" s="1047"/>
      <c r="G11" s="1047"/>
      <c r="H11" s="1047"/>
      <c r="I11" s="1047"/>
      <c r="J11" s="1047"/>
      <c r="K11" s="1047"/>
      <c r="L11" s="1047"/>
      <c r="M11" s="1047"/>
      <c r="N11" s="41"/>
      <c r="O11" s="41"/>
    </row>
    <row r="12" spans="1:17" ht="30" customHeight="1" x14ac:dyDescent="0.2">
      <c r="A12" s="955"/>
      <c r="B12" s="427">
        <v>105</v>
      </c>
      <c r="C12" s="607">
        <v>5.5E-2</v>
      </c>
      <c r="D12" s="429">
        <f t="shared" si="0"/>
        <v>7577366.3899490787</v>
      </c>
      <c r="E12" s="1047"/>
      <c r="F12" s="1047"/>
      <c r="G12" s="1047"/>
      <c r="H12" s="1047"/>
      <c r="I12" s="1047"/>
      <c r="J12" s="1047"/>
      <c r="K12" s="1047"/>
      <c r="L12" s="1047"/>
      <c r="M12" s="1047"/>
      <c r="N12" s="41"/>
      <c r="O12" s="41"/>
    </row>
    <row r="13" spans="1:17" ht="29.25" customHeight="1" x14ac:dyDescent="0.2">
      <c r="A13" s="955"/>
      <c r="B13" s="427">
        <v>115</v>
      </c>
      <c r="C13" s="607">
        <v>6.5000000000000002E-2</v>
      </c>
      <c r="D13" s="429">
        <f t="shared" si="0"/>
        <v>8955069.3699398208</v>
      </c>
      <c r="E13" s="1047"/>
      <c r="F13" s="1047"/>
      <c r="G13" s="1047"/>
      <c r="H13" s="1047"/>
      <c r="I13" s="1047"/>
      <c r="J13" s="1047"/>
      <c r="K13" s="1047"/>
      <c r="L13" s="1047"/>
      <c r="M13" s="1047"/>
      <c r="N13" s="41"/>
      <c r="O13" s="41"/>
    </row>
    <row r="14" spans="1:17" ht="30" customHeight="1" x14ac:dyDescent="0.2">
      <c r="A14" s="955"/>
      <c r="B14" s="427">
        <v>125</v>
      </c>
      <c r="C14" s="607">
        <v>7.4999999999999997E-2</v>
      </c>
      <c r="D14" s="429">
        <f t="shared" si="0"/>
        <v>10332772.349930562</v>
      </c>
      <c r="E14" s="1047"/>
      <c r="F14" s="1047"/>
      <c r="G14" s="1047"/>
      <c r="H14" s="1047"/>
      <c r="I14" s="1047"/>
      <c r="J14" s="1047"/>
      <c r="K14" s="1047"/>
      <c r="L14" s="1047"/>
      <c r="M14" s="1047"/>
      <c r="N14" s="41"/>
      <c r="O14" s="41"/>
    </row>
    <row r="15" spans="1:17" ht="30" customHeight="1" x14ac:dyDescent="0.2">
      <c r="A15" s="955"/>
      <c r="B15" s="608"/>
      <c r="C15" s="428"/>
      <c r="D15" s="429"/>
      <c r="E15" s="1047"/>
      <c r="F15" s="1047"/>
      <c r="G15" s="1047"/>
      <c r="H15" s="1047"/>
      <c r="I15" s="1047"/>
      <c r="J15" s="1047"/>
      <c r="K15" s="1047"/>
      <c r="L15" s="1047"/>
      <c r="M15" s="1047"/>
      <c r="N15" s="41"/>
      <c r="O15" s="41"/>
    </row>
    <row r="16" spans="1:17" ht="25.5" customHeight="1" x14ac:dyDescent="0.2">
      <c r="A16" s="955"/>
      <c r="B16" s="603" t="s">
        <v>88</v>
      </c>
      <c r="C16" s="1086" t="s">
        <v>13</v>
      </c>
      <c r="D16" s="918"/>
      <c r="E16" s="1047"/>
      <c r="F16" s="1047"/>
      <c r="G16" s="1047"/>
      <c r="H16" s="1047"/>
      <c r="I16" s="1047"/>
      <c r="J16" s="1047"/>
      <c r="K16" s="1047"/>
      <c r="L16" s="1047"/>
      <c r="M16" s="1047"/>
      <c r="N16" s="41"/>
      <c r="O16" s="41"/>
    </row>
    <row r="17" spans="1:15" s="58" customFormat="1" ht="36" customHeight="1" x14ac:dyDescent="0.25">
      <c r="A17" s="955"/>
      <c r="B17" s="436" t="s">
        <v>2</v>
      </c>
      <c r="C17" s="437">
        <f>'ES CT Electric Table A  '!M54-'ES CT Electric Table A  '!M47-'ES CT Electric Table A  '!M46-'ES CT Electric Table A  '!M45-'ES CT Electric Table A  '!M43</f>
        <v>137770297.99907416</v>
      </c>
      <c r="D17" s="433"/>
      <c r="E17" s="1047"/>
      <c r="F17" s="1047"/>
      <c r="G17" s="1047"/>
      <c r="H17" s="1047"/>
      <c r="I17" s="1047"/>
      <c r="J17" s="1047"/>
      <c r="K17" s="1047"/>
      <c r="L17" s="1047"/>
      <c r="M17" s="1047"/>
    </row>
    <row r="18" spans="1:15" ht="19.5" customHeight="1" x14ac:dyDescent="0.2">
      <c r="A18" s="955"/>
      <c r="B18" s="1048" t="s">
        <v>319</v>
      </c>
      <c r="C18" s="1048"/>
      <c r="D18" s="1048"/>
      <c r="E18" s="1047"/>
      <c r="F18" s="1047"/>
      <c r="G18" s="1047"/>
      <c r="H18" s="1047"/>
      <c r="I18" s="1047"/>
      <c r="J18" s="1047"/>
      <c r="K18" s="1047"/>
      <c r="L18" s="1047"/>
      <c r="M18" s="1047"/>
      <c r="N18" s="41"/>
      <c r="O18" s="41"/>
    </row>
    <row r="19" spans="1:15" ht="19.5" customHeight="1" x14ac:dyDescent="0.2">
      <c r="A19" s="955"/>
      <c r="B19" s="1048"/>
      <c r="C19" s="1048"/>
      <c r="D19" s="1048"/>
      <c r="E19" s="1047"/>
      <c r="F19" s="1047"/>
      <c r="G19" s="1047"/>
      <c r="H19" s="1047"/>
      <c r="I19" s="1047"/>
      <c r="J19" s="1047"/>
      <c r="K19" s="1047"/>
      <c r="L19" s="1047"/>
      <c r="M19" s="1047"/>
      <c r="N19" s="41"/>
      <c r="O19" s="41"/>
    </row>
    <row r="20" spans="1:15" ht="19.5" customHeight="1" x14ac:dyDescent="0.2">
      <c r="A20" s="955"/>
      <c r="B20" s="1048"/>
      <c r="C20" s="1048"/>
      <c r="D20" s="1048"/>
      <c r="E20" s="1047"/>
      <c r="F20" s="1047"/>
      <c r="G20" s="1047"/>
      <c r="H20" s="1047"/>
      <c r="I20" s="1047"/>
      <c r="J20" s="1047"/>
      <c r="K20" s="1047"/>
      <c r="L20" s="1047"/>
      <c r="M20" s="1047"/>
      <c r="N20" s="41"/>
      <c r="O20" s="41"/>
    </row>
    <row r="21" spans="1:15" ht="7.5" customHeight="1" x14ac:dyDescent="0.2">
      <c r="A21" s="955"/>
      <c r="B21" s="1048"/>
      <c r="C21" s="1048"/>
      <c r="D21" s="1048"/>
      <c r="E21" s="1047"/>
      <c r="F21" s="1047"/>
      <c r="G21" s="1047"/>
      <c r="H21" s="1047"/>
      <c r="I21" s="1047"/>
      <c r="J21" s="1047"/>
      <c r="K21" s="1047"/>
      <c r="L21" s="1047"/>
      <c r="M21" s="1047"/>
      <c r="N21" s="41"/>
      <c r="O21" s="41"/>
    </row>
    <row r="22" spans="1:15" ht="12" hidden="1" customHeight="1" x14ac:dyDescent="0.2">
      <c r="A22" s="955"/>
      <c r="B22" s="1048"/>
      <c r="C22" s="1048"/>
      <c r="D22" s="1048"/>
      <c r="E22" s="1047"/>
      <c r="F22" s="1047"/>
      <c r="G22" s="1047"/>
      <c r="H22" s="1047"/>
      <c r="I22" s="1047"/>
      <c r="J22" s="1047"/>
      <c r="K22" s="1047"/>
      <c r="L22" s="1047"/>
      <c r="M22" s="1047"/>
      <c r="N22" s="41"/>
      <c r="O22" s="41"/>
    </row>
    <row r="23" spans="1:15" ht="43.5" hidden="1" customHeight="1" x14ac:dyDescent="0.2">
      <c r="A23" s="955"/>
      <c r="B23" s="1048"/>
      <c r="C23" s="1048"/>
      <c r="D23" s="1048"/>
      <c r="E23" s="1047"/>
      <c r="F23" s="1047"/>
      <c r="G23" s="1047"/>
      <c r="H23" s="1047"/>
      <c r="I23" s="1047"/>
      <c r="J23" s="1047"/>
      <c r="K23" s="1047"/>
      <c r="L23" s="1047"/>
      <c r="M23" s="1047"/>
      <c r="N23" s="41"/>
      <c r="O23" s="41"/>
    </row>
    <row r="24" spans="1:15" ht="18.75" hidden="1" customHeight="1" x14ac:dyDescent="0.2">
      <c r="A24" s="955"/>
      <c r="B24" s="1048"/>
      <c r="C24" s="1048"/>
      <c r="D24" s="1048"/>
      <c r="E24" s="1047"/>
      <c r="F24" s="1047"/>
      <c r="G24" s="1047"/>
      <c r="H24" s="1047"/>
      <c r="I24" s="1047"/>
      <c r="J24" s="1047"/>
      <c r="K24" s="1047"/>
      <c r="L24" s="1047"/>
      <c r="M24" s="1047"/>
      <c r="N24" s="41"/>
      <c r="O24" s="41"/>
    </row>
    <row r="25" spans="1:15" ht="21" customHeight="1" thickBot="1" x14ac:dyDescent="0.25">
      <c r="B25" s="41"/>
      <c r="C25" s="41"/>
      <c r="D25" s="41"/>
      <c r="E25" s="41"/>
      <c r="F25" s="41"/>
      <c r="G25" s="41"/>
      <c r="H25" s="41"/>
      <c r="I25" s="41"/>
      <c r="J25" s="41"/>
      <c r="K25" s="41"/>
      <c r="L25" s="593"/>
      <c r="N25" s="41"/>
      <c r="O25" s="41"/>
    </row>
    <row r="26" spans="1:15" ht="19.5" customHeight="1" thickBot="1" x14ac:dyDescent="0.25">
      <c r="A26" s="955"/>
      <c r="B26" s="1052" t="s">
        <v>64</v>
      </c>
      <c r="C26" s="1052"/>
      <c r="D26" s="1051" t="s">
        <v>65</v>
      </c>
      <c r="E26" s="1051"/>
      <c r="F26" s="1051"/>
      <c r="G26" s="1051"/>
      <c r="H26" s="1051"/>
      <c r="I26" s="1051"/>
      <c r="J26" s="1052" t="s">
        <v>66</v>
      </c>
      <c r="K26" s="1052"/>
      <c r="L26" s="1052"/>
      <c r="M26" s="1052"/>
      <c r="N26" s="41"/>
      <c r="O26" s="41"/>
    </row>
    <row r="27" spans="1:15" ht="31.5" customHeight="1" thickBot="1" x14ac:dyDescent="0.25">
      <c r="A27" s="955"/>
      <c r="B27" s="1052"/>
      <c r="C27" s="1052"/>
      <c r="D27" s="1051"/>
      <c r="E27" s="1051"/>
      <c r="F27" s="1051"/>
      <c r="G27" s="1051"/>
      <c r="H27" s="1051"/>
      <c r="I27" s="1051"/>
      <c r="J27" s="604" t="s">
        <v>67</v>
      </c>
      <c r="K27" s="604" t="s">
        <v>68</v>
      </c>
      <c r="L27" s="604" t="s">
        <v>69</v>
      </c>
      <c r="M27" s="461" t="s">
        <v>70</v>
      </c>
      <c r="N27" s="41"/>
      <c r="O27" s="41"/>
    </row>
    <row r="28" spans="1:15" ht="19.5" customHeight="1" thickBot="1" x14ac:dyDescent="0.25">
      <c r="A28" s="955"/>
      <c r="B28" s="1059"/>
      <c r="C28" s="1059"/>
      <c r="D28" s="1059"/>
      <c r="E28" s="1059"/>
      <c r="F28" s="1059"/>
      <c r="G28" s="1059"/>
      <c r="H28" s="1059"/>
      <c r="I28" s="1059"/>
      <c r="J28" s="1059"/>
      <c r="K28" s="1059"/>
      <c r="L28" s="1059"/>
      <c r="M28" s="1059"/>
      <c r="N28" s="41"/>
      <c r="O28" s="41"/>
    </row>
    <row r="29" spans="1:15" ht="17.25" customHeight="1" x14ac:dyDescent="0.2">
      <c r="A29" s="955"/>
      <c r="B29" s="1060" t="s">
        <v>15</v>
      </c>
      <c r="C29" s="1060"/>
      <c r="D29" s="1034" t="s">
        <v>71</v>
      </c>
      <c r="E29" s="1034" t="s">
        <v>72</v>
      </c>
      <c r="F29" s="1034"/>
      <c r="G29" s="1034" t="s">
        <v>73</v>
      </c>
      <c r="H29" s="1034"/>
      <c r="I29" s="1036" t="s">
        <v>74</v>
      </c>
      <c r="J29" s="1039"/>
      <c r="K29" s="1039"/>
      <c r="L29" s="1039"/>
      <c r="M29" s="1041"/>
      <c r="N29" s="41"/>
      <c r="O29" s="41"/>
    </row>
    <row r="30" spans="1:15" ht="18.75" customHeight="1" thickBot="1" x14ac:dyDescent="0.25">
      <c r="A30" s="955"/>
      <c r="B30" s="1061"/>
      <c r="C30" s="1061"/>
      <c r="D30" s="1035"/>
      <c r="E30" s="1035"/>
      <c r="F30" s="1035"/>
      <c r="G30" s="1035"/>
      <c r="H30" s="1035"/>
      <c r="I30" s="1037"/>
      <c r="J30" s="1040"/>
      <c r="K30" s="1040"/>
      <c r="L30" s="1040"/>
      <c r="M30" s="1042"/>
      <c r="N30" s="41"/>
      <c r="O30" s="41"/>
    </row>
    <row r="31" spans="1:15" ht="19.5" customHeight="1" thickBot="1" x14ac:dyDescent="0.25">
      <c r="A31" s="955"/>
      <c r="B31" s="973" t="s">
        <v>314</v>
      </c>
      <c r="C31" s="970">
        <f>'ES CT Electric Table A  '!M16/1000</f>
        <v>57666.720700000005</v>
      </c>
      <c r="D31" s="1045"/>
      <c r="E31" s="1045"/>
      <c r="F31" s="1045"/>
      <c r="G31" s="1045"/>
      <c r="H31" s="1045"/>
      <c r="I31" s="1045"/>
      <c r="J31" s="1072" t="s">
        <v>93</v>
      </c>
      <c r="K31" s="1053" t="s">
        <v>90</v>
      </c>
      <c r="L31" s="1071">
        <f>0.1625-0.03375-0.01625+0.005+0.005+0.0575-0.015+0.03-0.0025</f>
        <v>0.19250000000000003</v>
      </c>
      <c r="M31" s="1043">
        <f>$D$11*L31</f>
        <v>1326039.1182410889</v>
      </c>
      <c r="N31" s="41"/>
      <c r="O31" s="41"/>
    </row>
    <row r="32" spans="1:15" ht="3.75" customHeight="1" thickBot="1" x14ac:dyDescent="0.25">
      <c r="A32" s="955"/>
      <c r="B32" s="973"/>
      <c r="C32" s="970"/>
      <c r="D32" s="1045"/>
      <c r="E32" s="1045"/>
      <c r="F32" s="1045"/>
      <c r="G32" s="1045"/>
      <c r="H32" s="1045"/>
      <c r="I32" s="1045"/>
      <c r="J32" s="1072"/>
      <c r="K32" s="1054"/>
      <c r="L32" s="1071"/>
      <c r="M32" s="1043"/>
      <c r="N32" s="41"/>
      <c r="O32" s="41"/>
    </row>
    <row r="33" spans="1:15" ht="18.75" customHeight="1" thickBot="1" x14ac:dyDescent="0.3">
      <c r="A33" s="955"/>
      <c r="B33" s="973"/>
      <c r="C33" s="970"/>
      <c r="D33" s="441" t="s">
        <v>96</v>
      </c>
      <c r="E33" s="997">
        <f>'2014-24 ESCTETable D3-lftimekWh'!O8*1000</f>
        <v>60395174.542057157</v>
      </c>
      <c r="F33" s="997"/>
      <c r="G33" s="1038">
        <f>'2014-24 ES CT E Table D1-kW'!O8</f>
        <v>788.91533982283033</v>
      </c>
      <c r="H33" s="1038"/>
      <c r="I33" s="439">
        <f t="shared" ref="I33:I38" si="1">(E33*E$42+G33*G$42)/K$35</f>
        <v>0.2712221345978959</v>
      </c>
      <c r="J33" s="1072"/>
      <c r="K33" s="1054"/>
      <c r="L33" s="1071"/>
      <c r="M33" s="1043"/>
      <c r="N33" s="41"/>
      <c r="O33" s="41"/>
    </row>
    <row r="34" spans="1:15" ht="37.5" customHeight="1" thickBot="1" x14ac:dyDescent="0.3">
      <c r="A34" s="955"/>
      <c r="B34" s="973"/>
      <c r="C34" s="970"/>
      <c r="D34" s="441" t="s">
        <v>75</v>
      </c>
      <c r="E34" s="997">
        <f>'2014-24 ESCTETable D3-lftimekWh'!O9*1000</f>
        <v>54107385.948272914</v>
      </c>
      <c r="F34" s="997"/>
      <c r="G34" s="1038">
        <f>'2014-24 ES CT E Table D1-kW'!O9</f>
        <v>394.49135229343926</v>
      </c>
      <c r="H34" s="1038"/>
      <c r="I34" s="439">
        <f t="shared" si="1"/>
        <v>0.21643918808381843</v>
      </c>
      <c r="J34" s="1072"/>
      <c r="K34" s="1055"/>
      <c r="L34" s="1071"/>
      <c r="M34" s="1043"/>
      <c r="N34" s="41"/>
      <c r="O34" s="41"/>
    </row>
    <row r="35" spans="1:15" ht="34.5" customHeight="1" thickBot="1" x14ac:dyDescent="0.3">
      <c r="A35" s="955"/>
      <c r="B35" s="973"/>
      <c r="C35" s="970"/>
      <c r="D35" s="441" t="s">
        <v>109</v>
      </c>
      <c r="E35" s="997">
        <f>'2014-24 ESCTETable D3-lftimekWh'!O10*1000</f>
        <v>54469555.471267633</v>
      </c>
      <c r="F35" s="997"/>
      <c r="G35" s="1038">
        <f>'2014-24 ES CT E Table D1-kW'!O10</f>
        <v>1204.9494104799571</v>
      </c>
      <c r="H35" s="1038"/>
      <c r="I35" s="439">
        <f t="shared" si="1"/>
        <v>0.28655552465861711</v>
      </c>
      <c r="J35" s="1072"/>
      <c r="K35" s="1056">
        <f>E43+G43</f>
        <v>35438444.250027254</v>
      </c>
      <c r="L35" s="1071"/>
      <c r="M35" s="1043"/>
      <c r="N35" s="41"/>
      <c r="O35" s="41"/>
    </row>
    <row r="36" spans="1:15" ht="42" customHeight="1" thickBot="1" x14ac:dyDescent="0.3">
      <c r="A36" s="955"/>
      <c r="B36" s="973"/>
      <c r="C36" s="970"/>
      <c r="D36" s="441" t="s">
        <v>271</v>
      </c>
      <c r="E36" s="997">
        <f>'2014-24 ESCTETable D3-lftimekWh'!O11*1000</f>
        <v>-3033446.1816952797</v>
      </c>
      <c r="F36" s="997"/>
      <c r="G36" s="1038">
        <f>'2014-24 ES CT E Table D1-kW'!O11</f>
        <v>1118.7406888718137</v>
      </c>
      <c r="H36" s="1038"/>
      <c r="I36" s="439">
        <f t="shared" si="1"/>
        <v>8.4842924222502891E-2</v>
      </c>
      <c r="J36" s="1072"/>
      <c r="K36" s="1057"/>
      <c r="L36" s="1071"/>
      <c r="M36" s="1043"/>
      <c r="N36" s="41"/>
      <c r="O36" s="41"/>
    </row>
    <row r="37" spans="1:15" ht="41.25" customHeight="1" thickBot="1" x14ac:dyDescent="0.3">
      <c r="A37" s="955"/>
      <c r="B37" s="973"/>
      <c r="C37" s="970"/>
      <c r="D37" s="441" t="s">
        <v>320</v>
      </c>
      <c r="E37" s="997">
        <f>'2014-24 ESCTETable D3-lftimekWh'!O12*1000</f>
        <v>29679066.947092991</v>
      </c>
      <c r="F37" s="997"/>
      <c r="G37" s="1038">
        <f>'2014-24 ES CT E Table D1-kW'!O12</f>
        <v>339.76944884085049</v>
      </c>
      <c r="H37" s="1038"/>
      <c r="I37" s="439">
        <f t="shared" si="1"/>
        <v>0.12920953975283361</v>
      </c>
      <c r="J37" s="1072"/>
      <c r="K37" s="1057"/>
      <c r="L37" s="1071"/>
      <c r="M37" s="1043"/>
      <c r="N37" s="41"/>
      <c r="O37" s="41"/>
    </row>
    <row r="38" spans="1:15" ht="24.75" customHeight="1" thickBot="1" x14ac:dyDescent="0.3">
      <c r="A38" s="955"/>
      <c r="B38" s="973"/>
      <c r="C38" s="970"/>
      <c r="D38" s="441" t="s">
        <v>218</v>
      </c>
      <c r="E38" s="997">
        <f>'2014-24 ESCTETable D3-lftimekWh'!O13*1000</f>
        <v>1430000</v>
      </c>
      <c r="F38" s="997"/>
      <c r="G38" s="1038">
        <f>'2014-24 ES CT E Table D1-kW'!O13</f>
        <v>81.621004566210047</v>
      </c>
      <c r="H38" s="1038"/>
      <c r="I38" s="439">
        <f t="shared" si="1"/>
        <v>1.1772105448618248E-2</v>
      </c>
      <c r="J38" s="1072"/>
      <c r="K38" s="1057"/>
      <c r="L38" s="1071"/>
      <c r="M38" s="1043"/>
      <c r="N38" s="41"/>
      <c r="O38" s="41"/>
    </row>
    <row r="39" spans="1:15" ht="18.75" customHeight="1" thickBot="1" x14ac:dyDescent="0.25">
      <c r="A39" s="955"/>
      <c r="B39" s="973"/>
      <c r="C39" s="970"/>
      <c r="D39" s="973"/>
      <c r="E39" s="973"/>
      <c r="F39" s="973"/>
      <c r="G39" s="973"/>
      <c r="H39" s="973"/>
      <c r="I39" s="973"/>
      <c r="J39" s="1072"/>
      <c r="K39" s="1057"/>
      <c r="L39" s="1071"/>
      <c r="M39" s="1043"/>
      <c r="N39" s="41"/>
      <c r="O39" s="41"/>
    </row>
    <row r="40" spans="1:15" ht="18.75" customHeight="1" thickBot="1" x14ac:dyDescent="0.3">
      <c r="A40" s="955"/>
      <c r="B40" s="973"/>
      <c r="C40" s="970"/>
      <c r="D40" s="441" t="s">
        <v>76</v>
      </c>
      <c r="E40" s="998">
        <f>ROUND(SUM(E33:E38),0)</f>
        <v>197047737</v>
      </c>
      <c r="F40" s="998"/>
      <c r="G40" s="998">
        <f>ROUND(SUM(G33:G38),0)</f>
        <v>3928</v>
      </c>
      <c r="H40" s="998"/>
      <c r="I40" s="466"/>
      <c r="J40" s="1072"/>
      <c r="K40" s="1057"/>
      <c r="L40" s="1071"/>
      <c r="M40" s="1043"/>
      <c r="N40" s="41"/>
      <c r="O40" s="41"/>
    </row>
    <row r="41" spans="1:15" ht="18.75" customHeight="1" thickBot="1" x14ac:dyDescent="0.25">
      <c r="A41" s="955"/>
      <c r="B41" s="973"/>
      <c r="C41" s="970"/>
      <c r="D41" s="973"/>
      <c r="E41" s="973"/>
      <c r="F41" s="973"/>
      <c r="G41" s="973"/>
      <c r="H41" s="973"/>
      <c r="I41" s="973"/>
      <c r="J41" s="1072"/>
      <c r="K41" s="1057"/>
      <c r="L41" s="1071"/>
      <c r="M41" s="1043"/>
      <c r="N41" s="41"/>
      <c r="O41" s="41"/>
    </row>
    <row r="42" spans="1:15" ht="18.75" thickBot="1" x14ac:dyDescent="0.25">
      <c r="A42" s="955"/>
      <c r="B42" s="973"/>
      <c r="C42" s="970"/>
      <c r="D42" s="441" t="s">
        <v>77</v>
      </c>
      <c r="E42" s="521">
        <f>E43/E40</f>
        <v>0.11979696801268977</v>
      </c>
      <c r="F42" s="522" t="s">
        <v>4</v>
      </c>
      <c r="G42" s="519">
        <f>G43/G40</f>
        <v>3012.4039724198947</v>
      </c>
      <c r="H42" s="520" t="s">
        <v>5</v>
      </c>
      <c r="I42" s="1045"/>
      <c r="J42" s="1072"/>
      <c r="K42" s="1057"/>
      <c r="L42" s="1071"/>
      <c r="M42" s="1043"/>
      <c r="N42" s="41"/>
      <c r="O42" s="41"/>
    </row>
    <row r="43" spans="1:15" ht="21" customHeight="1" thickBot="1" x14ac:dyDescent="0.25">
      <c r="A43" s="955"/>
      <c r="B43" s="973"/>
      <c r="C43" s="970"/>
      <c r="D43" s="440" t="s">
        <v>216</v>
      </c>
      <c r="E43" s="1066">
        <f>'[18]Eversource Elect_Table_B'!$BQ$40</f>
        <v>23605721.446361907</v>
      </c>
      <c r="F43" s="1066"/>
      <c r="G43" s="1066">
        <f>'[18]Eversource Elect_Table_B'!$BY$40</f>
        <v>11832722.803665346</v>
      </c>
      <c r="H43" s="1066"/>
      <c r="I43" s="1045"/>
      <c r="J43" s="1072"/>
      <c r="K43" s="1057"/>
      <c r="L43" s="1071"/>
      <c r="M43" s="1043"/>
      <c r="N43" s="41"/>
      <c r="O43" s="41"/>
    </row>
    <row r="44" spans="1:15" ht="22.5" customHeight="1" thickBot="1" x14ac:dyDescent="0.25">
      <c r="A44" s="955"/>
      <c r="B44" s="973"/>
      <c r="C44" s="970"/>
      <c r="D44" s="1065" t="s">
        <v>81</v>
      </c>
      <c r="E44" s="1065"/>
      <c r="F44" s="1065"/>
      <c r="G44" s="1065"/>
      <c r="H44" s="1065"/>
      <c r="I44" s="1065"/>
      <c r="J44" s="1072"/>
      <c r="K44" s="1058"/>
      <c r="L44" s="1071"/>
      <c r="M44" s="1043"/>
      <c r="N44" s="41"/>
      <c r="O44" s="41"/>
    </row>
    <row r="45" spans="1:15" ht="45" customHeight="1" thickBot="1" x14ac:dyDescent="0.25">
      <c r="A45" s="955"/>
      <c r="B45" s="591" t="s">
        <v>84</v>
      </c>
      <c r="C45" s="442"/>
      <c r="D45" s="1069" t="s">
        <v>83</v>
      </c>
      <c r="E45" s="1070"/>
      <c r="F45" s="1070"/>
      <c r="G45" s="1070"/>
      <c r="H45" s="1098">
        <f>K35-C31*1000</f>
        <v>-22228276.449972749</v>
      </c>
      <c r="I45" s="1099"/>
      <c r="J45" s="594"/>
      <c r="K45" s="592">
        <f>H45</f>
        <v>-22228276.449972749</v>
      </c>
      <c r="L45" s="445">
        <f>0.1625-0.03375-0.01625+0.005+0.005+0.0575-0.015+0.03-0.0025</f>
        <v>0.19250000000000003</v>
      </c>
      <c r="M45" s="592">
        <f>$D$11*L45</f>
        <v>1326039.1182410889</v>
      </c>
      <c r="N45" s="41"/>
      <c r="O45" s="41"/>
    </row>
    <row r="46" spans="1:15" ht="44.25" customHeight="1" thickBot="1" x14ac:dyDescent="0.3">
      <c r="A46" s="955"/>
      <c r="B46" s="1073" t="s">
        <v>109</v>
      </c>
      <c r="C46" s="979">
        <f>'ES CT Electric Table A  '!M12/1000</f>
        <v>20600.573700000001</v>
      </c>
      <c r="D46" s="1045" t="s">
        <v>3</v>
      </c>
      <c r="E46" s="1045"/>
      <c r="F46" s="1045"/>
      <c r="G46" s="1062">
        <f>E35</f>
        <v>54469555.471267633</v>
      </c>
      <c r="H46" s="1062"/>
      <c r="I46" s="1080"/>
      <c r="J46" s="1081" t="s">
        <v>324</v>
      </c>
      <c r="K46" s="970"/>
      <c r="L46" s="1082"/>
      <c r="M46" s="970"/>
      <c r="N46" s="41"/>
      <c r="O46" s="41"/>
    </row>
    <row r="47" spans="1:15" ht="36.75" customHeight="1" thickBot="1" x14ac:dyDescent="0.3">
      <c r="A47" s="955"/>
      <c r="B47" s="1074"/>
      <c r="C47" s="980"/>
      <c r="D47" s="1045" t="s">
        <v>85</v>
      </c>
      <c r="E47" s="1045"/>
      <c r="F47" s="1045"/>
      <c r="G47" s="1062">
        <f>G35</f>
        <v>1204.9494104799571</v>
      </c>
      <c r="H47" s="1062"/>
      <c r="I47" s="1080"/>
      <c r="J47" s="1081"/>
      <c r="K47" s="970"/>
      <c r="L47" s="1082"/>
      <c r="M47" s="970"/>
      <c r="N47" s="41"/>
      <c r="O47" s="41"/>
    </row>
    <row r="48" spans="1:15" ht="18.75" customHeight="1" thickBot="1" x14ac:dyDescent="0.25">
      <c r="A48" s="955"/>
      <c r="B48" s="1074"/>
      <c r="C48" s="980"/>
      <c r="D48" s="969" t="s">
        <v>444</v>
      </c>
      <c r="E48" s="969"/>
      <c r="F48" s="969"/>
      <c r="G48" s="969"/>
      <c r="H48" s="969"/>
      <c r="I48" s="969"/>
      <c r="J48" s="969" t="s">
        <v>447</v>
      </c>
      <c r="K48" s="1083" t="s">
        <v>448</v>
      </c>
      <c r="L48" s="1079">
        <v>0.01</v>
      </c>
      <c r="M48" s="1044">
        <f>$D$11*L48</f>
        <v>68885.148999537079</v>
      </c>
      <c r="N48" s="41"/>
      <c r="O48" s="41"/>
    </row>
    <row r="49" spans="1:15" ht="19.5" customHeight="1" thickBot="1" x14ac:dyDescent="0.25">
      <c r="A49" s="955"/>
      <c r="B49" s="1074"/>
      <c r="C49" s="980"/>
      <c r="D49" s="969"/>
      <c r="E49" s="969"/>
      <c r="F49" s="969"/>
      <c r="G49" s="969"/>
      <c r="H49" s="969"/>
      <c r="I49" s="969"/>
      <c r="J49" s="969"/>
      <c r="K49" s="1083"/>
      <c r="L49" s="1079"/>
      <c r="M49" s="1044"/>
      <c r="N49" s="41"/>
      <c r="O49" s="41"/>
    </row>
    <row r="50" spans="1:15" s="155" customFormat="1" ht="74.25" customHeight="1" thickBot="1" x14ac:dyDescent="0.25">
      <c r="A50" s="955"/>
      <c r="B50" s="1074"/>
      <c r="C50" s="980"/>
      <c r="D50" s="969"/>
      <c r="E50" s="969"/>
      <c r="F50" s="969"/>
      <c r="G50" s="969"/>
      <c r="H50" s="969"/>
      <c r="I50" s="969"/>
      <c r="J50" s="969"/>
      <c r="K50" s="1083"/>
      <c r="L50" s="1079"/>
      <c r="M50" s="1044"/>
      <c r="N50" s="153"/>
      <c r="O50" s="154"/>
    </row>
    <row r="51" spans="1:15" s="155" customFormat="1" ht="126.75" customHeight="1" thickBot="1" x14ac:dyDescent="0.25">
      <c r="A51" s="955"/>
      <c r="B51" s="1074"/>
      <c r="C51" s="980"/>
      <c r="D51" s="1001" t="s">
        <v>445</v>
      </c>
      <c r="E51" s="1142"/>
      <c r="F51" s="1142"/>
      <c r="G51" s="1142"/>
      <c r="H51" s="1142"/>
      <c r="I51" s="1143"/>
      <c r="J51" s="632" t="s">
        <v>449</v>
      </c>
      <c r="K51" s="636" t="s">
        <v>450</v>
      </c>
      <c r="L51" s="635">
        <v>0.01</v>
      </c>
      <c r="M51" s="634">
        <f>$D$11*L48</f>
        <v>68885.148999537079</v>
      </c>
      <c r="N51" s="153"/>
      <c r="O51" s="154"/>
    </row>
    <row r="52" spans="1:15" ht="107.25" customHeight="1" thickBot="1" x14ac:dyDescent="0.25">
      <c r="A52" s="955"/>
      <c r="B52" s="1075"/>
      <c r="C52" s="981"/>
      <c r="D52" s="969" t="s">
        <v>446</v>
      </c>
      <c r="E52" s="969"/>
      <c r="F52" s="969"/>
      <c r="G52" s="969"/>
      <c r="H52" s="969"/>
      <c r="I52" s="969"/>
      <c r="J52" s="632" t="s">
        <v>331</v>
      </c>
      <c r="K52" s="636" t="s">
        <v>451</v>
      </c>
      <c r="L52" s="595">
        <v>0.01</v>
      </c>
      <c r="M52" s="588">
        <f>$D$11*L52</f>
        <v>68885.148999537079</v>
      </c>
      <c r="N52" s="93"/>
      <c r="O52" s="41"/>
    </row>
    <row r="53" spans="1:15" ht="55.5" customHeight="1" thickBot="1" x14ac:dyDescent="0.3">
      <c r="A53" s="1000"/>
      <c r="B53" s="973" t="s">
        <v>111</v>
      </c>
      <c r="C53" s="970">
        <f>'ES CT Electric Table A  '!M11/1000</f>
        <v>3505.8319999999999</v>
      </c>
      <c r="D53" s="971" t="s">
        <v>3</v>
      </c>
      <c r="E53" s="971"/>
      <c r="F53" s="971"/>
      <c r="G53" s="972">
        <f>E34</f>
        <v>54107385.948272914</v>
      </c>
      <c r="H53" s="972"/>
      <c r="I53" s="971"/>
      <c r="J53" s="1032" t="s">
        <v>315</v>
      </c>
      <c r="K53" s="1068"/>
      <c r="L53" s="1068" t="s">
        <v>13</v>
      </c>
      <c r="M53" s="1044" t="s">
        <v>13</v>
      </c>
      <c r="N53" s="41"/>
      <c r="O53" s="41"/>
    </row>
    <row r="54" spans="1:15" ht="25.5" customHeight="1" thickBot="1" x14ac:dyDescent="0.3">
      <c r="A54" s="1000"/>
      <c r="B54" s="1045"/>
      <c r="C54" s="970"/>
      <c r="D54" s="971" t="s">
        <v>85</v>
      </c>
      <c r="E54" s="971"/>
      <c r="F54" s="971"/>
      <c r="G54" s="972">
        <f>G34</f>
        <v>394.49135229343926</v>
      </c>
      <c r="H54" s="972"/>
      <c r="I54" s="971"/>
      <c r="J54" s="1032"/>
      <c r="K54" s="1068"/>
      <c r="L54" s="1068"/>
      <c r="M54" s="1044"/>
    </row>
    <row r="55" spans="1:15" ht="18.75" customHeight="1" thickBot="1" x14ac:dyDescent="0.25">
      <c r="A55" s="1000"/>
      <c r="B55" s="1045"/>
      <c r="C55" s="970"/>
      <c r="D55" s="969" t="s">
        <v>452</v>
      </c>
      <c r="E55" s="969"/>
      <c r="F55" s="969"/>
      <c r="G55" s="969"/>
      <c r="H55" s="969"/>
      <c r="I55" s="969"/>
      <c r="J55" s="969" t="s">
        <v>272</v>
      </c>
      <c r="K55" s="1067" t="s">
        <v>453</v>
      </c>
      <c r="L55" s="1006">
        <v>0.01</v>
      </c>
      <c r="M55" s="1044">
        <f>$D$11*L55</f>
        <v>68885.148999537079</v>
      </c>
    </row>
    <row r="56" spans="1:15" ht="18.75" customHeight="1" thickBot="1" x14ac:dyDescent="0.25">
      <c r="A56" s="1000"/>
      <c r="B56" s="1045"/>
      <c r="C56" s="970"/>
      <c r="D56" s="969"/>
      <c r="E56" s="969"/>
      <c r="F56" s="969"/>
      <c r="G56" s="969"/>
      <c r="H56" s="969"/>
      <c r="I56" s="969"/>
      <c r="J56" s="969"/>
      <c r="K56" s="977"/>
      <c r="L56" s="1006"/>
      <c r="M56" s="1044"/>
    </row>
    <row r="57" spans="1:15" ht="33.75" customHeight="1" thickBot="1" x14ac:dyDescent="0.25">
      <c r="A57" s="1000"/>
      <c r="B57" s="1045"/>
      <c r="C57" s="970"/>
      <c r="D57" s="969"/>
      <c r="E57" s="969"/>
      <c r="F57" s="969"/>
      <c r="G57" s="969"/>
      <c r="H57" s="969"/>
      <c r="I57" s="969"/>
      <c r="J57" s="969"/>
      <c r="K57" s="977"/>
      <c r="L57" s="1006"/>
      <c r="M57" s="1044"/>
    </row>
    <row r="58" spans="1:15" ht="18.75" customHeight="1" thickBot="1" x14ac:dyDescent="0.25">
      <c r="A58" s="1000"/>
      <c r="B58" s="1045"/>
      <c r="C58" s="970"/>
      <c r="D58" s="969"/>
      <c r="E58" s="969"/>
      <c r="F58" s="969"/>
      <c r="G58" s="969"/>
      <c r="H58" s="969"/>
      <c r="I58" s="969"/>
      <c r="J58" s="969"/>
      <c r="K58" s="977"/>
      <c r="L58" s="1006"/>
      <c r="M58" s="1044"/>
    </row>
    <row r="59" spans="1:15" ht="34.5" customHeight="1" thickBot="1" x14ac:dyDescent="0.25">
      <c r="A59" s="1000"/>
      <c r="B59" s="1045"/>
      <c r="C59" s="970"/>
      <c r="D59" s="969"/>
      <c r="E59" s="969"/>
      <c r="F59" s="969"/>
      <c r="G59" s="969"/>
      <c r="H59" s="969"/>
      <c r="I59" s="969"/>
      <c r="J59" s="969"/>
      <c r="K59" s="978"/>
      <c r="L59" s="1006"/>
      <c r="M59" s="1044"/>
    </row>
    <row r="60" spans="1:15" ht="30.75" customHeight="1" thickBot="1" x14ac:dyDescent="0.3">
      <c r="A60" s="1000"/>
      <c r="B60" s="973" t="s">
        <v>316</v>
      </c>
      <c r="C60" s="970">
        <f>'ES CT Electric Table A  '!M14/1000</f>
        <v>15883.645</v>
      </c>
      <c r="D60" s="971" t="s">
        <v>78</v>
      </c>
      <c r="E60" s="971"/>
      <c r="F60" s="971"/>
      <c r="G60" s="968">
        <f>+E37</f>
        <v>29679066.947092991</v>
      </c>
      <c r="H60" s="968"/>
      <c r="I60" s="971"/>
      <c r="J60" s="1032" t="s">
        <v>324</v>
      </c>
      <c r="K60" s="971" t="s">
        <v>13</v>
      </c>
      <c r="L60" s="971"/>
      <c r="M60" s="1011"/>
    </row>
    <row r="61" spans="1:15" ht="38.25" customHeight="1" thickBot="1" x14ac:dyDescent="0.3">
      <c r="A61" s="1000"/>
      <c r="B61" s="974"/>
      <c r="C61" s="970"/>
      <c r="D61" s="971" t="s">
        <v>86</v>
      </c>
      <c r="E61" s="971"/>
      <c r="F61" s="971"/>
      <c r="G61" s="968">
        <f>+G37</f>
        <v>339.76944884085049</v>
      </c>
      <c r="H61" s="968"/>
      <c r="I61" s="971"/>
      <c r="J61" s="1032"/>
      <c r="K61" s="971"/>
      <c r="L61" s="971"/>
      <c r="M61" s="1011"/>
    </row>
    <row r="62" spans="1:15" ht="18.75" customHeight="1" thickBot="1" x14ac:dyDescent="0.25">
      <c r="A62" s="1000"/>
      <c r="B62" s="974"/>
      <c r="C62" s="970"/>
      <c r="D62" s="969" t="s">
        <v>454</v>
      </c>
      <c r="E62" s="969"/>
      <c r="F62" s="969"/>
      <c r="G62" s="969"/>
      <c r="H62" s="969"/>
      <c r="I62" s="969"/>
      <c r="J62" s="969" t="s">
        <v>455</v>
      </c>
      <c r="K62" s="1083" t="s">
        <v>456</v>
      </c>
      <c r="L62" s="1006">
        <v>0.01</v>
      </c>
      <c r="M62" s="1044">
        <f>$D$11*L62</f>
        <v>68885.148999537079</v>
      </c>
    </row>
    <row r="63" spans="1:15" ht="18.75" customHeight="1" thickBot="1" x14ac:dyDescent="0.25">
      <c r="A63" s="1000"/>
      <c r="B63" s="974"/>
      <c r="C63" s="970"/>
      <c r="D63" s="969"/>
      <c r="E63" s="969"/>
      <c r="F63" s="969"/>
      <c r="G63" s="969"/>
      <c r="H63" s="969"/>
      <c r="I63" s="969"/>
      <c r="J63" s="969"/>
      <c r="K63" s="1083"/>
      <c r="L63" s="1006"/>
      <c r="M63" s="1044"/>
    </row>
    <row r="64" spans="1:15" ht="18.75" customHeight="1" thickBot="1" x14ac:dyDescent="0.25">
      <c r="A64" s="1000"/>
      <c r="B64" s="974"/>
      <c r="C64" s="970"/>
      <c r="D64" s="969"/>
      <c r="E64" s="969"/>
      <c r="F64" s="969"/>
      <c r="G64" s="969"/>
      <c r="H64" s="969"/>
      <c r="I64" s="969"/>
      <c r="J64" s="969"/>
      <c r="K64" s="1083"/>
      <c r="L64" s="1006"/>
      <c r="M64" s="1044"/>
    </row>
    <row r="65" spans="1:13" ht="57.75" customHeight="1" thickBot="1" x14ac:dyDescent="0.25">
      <c r="A65" s="1000"/>
      <c r="B65" s="974"/>
      <c r="C65" s="970"/>
      <c r="D65" s="969"/>
      <c r="E65" s="969"/>
      <c r="F65" s="969"/>
      <c r="G65" s="969"/>
      <c r="H65" s="969"/>
      <c r="I65" s="969"/>
      <c r="J65" s="969"/>
      <c r="K65" s="1083"/>
      <c r="L65" s="1006"/>
      <c r="M65" s="1044"/>
    </row>
    <row r="66" spans="1:13" ht="111.75" customHeight="1" thickBot="1" x14ac:dyDescent="0.25">
      <c r="A66" s="1000"/>
      <c r="B66" s="974"/>
      <c r="C66" s="970"/>
      <c r="D66" s="1001" t="s">
        <v>457</v>
      </c>
      <c r="E66" s="1142"/>
      <c r="F66" s="1142"/>
      <c r="G66" s="1142"/>
      <c r="H66" s="1142"/>
      <c r="I66" s="1143"/>
      <c r="J66" s="632" t="s">
        <v>458</v>
      </c>
      <c r="K66" s="636" t="s">
        <v>461</v>
      </c>
      <c r="L66" s="633">
        <v>0.01</v>
      </c>
      <c r="M66" s="634">
        <f>$D$11*L62</f>
        <v>68885.148999537079</v>
      </c>
    </row>
    <row r="67" spans="1:13" ht="73.5" customHeight="1" thickBot="1" x14ac:dyDescent="0.25">
      <c r="A67" s="1000"/>
      <c r="B67" s="974"/>
      <c r="C67" s="970"/>
      <c r="D67" s="969" t="s">
        <v>459</v>
      </c>
      <c r="E67" s="969"/>
      <c r="F67" s="969"/>
      <c r="G67" s="969"/>
      <c r="H67" s="969"/>
      <c r="I67" s="969"/>
      <c r="J67" s="969" t="s">
        <v>460</v>
      </c>
      <c r="K67" s="969" t="s">
        <v>451</v>
      </c>
      <c r="L67" s="1019">
        <v>0.01</v>
      </c>
      <c r="M67" s="1144">
        <f>$D$11*L62</f>
        <v>68885.148999537079</v>
      </c>
    </row>
    <row r="68" spans="1:13" ht="28.5" customHeight="1" thickBot="1" x14ac:dyDescent="0.25">
      <c r="A68" s="1000"/>
      <c r="B68" s="974"/>
      <c r="C68" s="970"/>
      <c r="D68" s="969"/>
      <c r="E68" s="969"/>
      <c r="F68" s="969"/>
      <c r="G68" s="969"/>
      <c r="H68" s="969"/>
      <c r="I68" s="969"/>
      <c r="J68" s="969"/>
      <c r="K68" s="969"/>
      <c r="L68" s="1021"/>
      <c r="M68" s="1145"/>
    </row>
    <row r="69" spans="1:13" ht="19.5" customHeight="1" thickBot="1" x14ac:dyDescent="0.25">
      <c r="A69" s="1000"/>
      <c r="B69" s="1077" t="s">
        <v>340</v>
      </c>
      <c r="C69" s="980"/>
      <c r="D69" s="969" t="s">
        <v>343</v>
      </c>
      <c r="E69" s="969"/>
      <c r="F69" s="969"/>
      <c r="G69" s="969"/>
      <c r="H69" s="969"/>
      <c r="I69" s="969"/>
      <c r="J69" s="969" t="s">
        <v>342</v>
      </c>
      <c r="K69" s="1032"/>
      <c r="L69" s="1006">
        <v>0.02</v>
      </c>
      <c r="M69" s="1044">
        <f>$D$11*L69</f>
        <v>137770.29799907416</v>
      </c>
    </row>
    <row r="70" spans="1:13" ht="19.5" customHeight="1" thickBot="1" x14ac:dyDescent="0.25">
      <c r="A70" s="1000"/>
      <c r="B70" s="1077"/>
      <c r="C70" s="980"/>
      <c r="D70" s="969"/>
      <c r="E70" s="969"/>
      <c r="F70" s="969"/>
      <c r="G70" s="969"/>
      <c r="H70" s="969"/>
      <c r="I70" s="969"/>
      <c r="J70" s="969"/>
      <c r="K70" s="1032"/>
      <c r="L70" s="1006"/>
      <c r="M70" s="1044"/>
    </row>
    <row r="71" spans="1:13" ht="14.25" customHeight="1" thickBot="1" x14ac:dyDescent="0.25">
      <c r="A71" s="1000"/>
      <c r="B71" s="1077"/>
      <c r="C71" s="980"/>
      <c r="D71" s="969"/>
      <c r="E71" s="969"/>
      <c r="F71" s="969"/>
      <c r="G71" s="969"/>
      <c r="H71" s="969"/>
      <c r="I71" s="969"/>
      <c r="J71" s="969"/>
      <c r="K71" s="1032"/>
      <c r="L71" s="1006"/>
      <c r="M71" s="1044"/>
    </row>
    <row r="72" spans="1:13" ht="40.5" customHeight="1" thickBot="1" x14ac:dyDescent="0.25">
      <c r="A72" s="1000"/>
      <c r="B72" s="1078"/>
      <c r="C72" s="981"/>
      <c r="D72" s="969"/>
      <c r="E72" s="969"/>
      <c r="F72" s="969"/>
      <c r="G72" s="969"/>
      <c r="H72" s="969"/>
      <c r="I72" s="969"/>
      <c r="J72" s="969"/>
      <c r="K72" s="1032"/>
      <c r="L72" s="1006"/>
      <c r="M72" s="1044"/>
    </row>
    <row r="73" spans="1:13" ht="25.5" customHeight="1" thickBot="1" x14ac:dyDescent="0.3">
      <c r="A73" s="1000"/>
      <c r="B73" s="1076" t="s">
        <v>96</v>
      </c>
      <c r="C73" s="979">
        <f>'ES CT Electric Table A  '!M10/1000</f>
        <v>4158</v>
      </c>
      <c r="D73" s="971" t="s">
        <v>78</v>
      </c>
      <c r="E73" s="971"/>
      <c r="F73" s="971"/>
      <c r="G73" s="968">
        <f>+E33</f>
        <v>60395174.542057157</v>
      </c>
      <c r="H73" s="968"/>
      <c r="I73" s="971"/>
      <c r="J73" s="969" t="s">
        <v>324</v>
      </c>
      <c r="K73" s="1032" t="s">
        <v>13</v>
      </c>
      <c r="L73" s="1006" t="s">
        <v>13</v>
      </c>
      <c r="M73" s="1044" t="s">
        <v>13</v>
      </c>
    </row>
    <row r="74" spans="1:13" ht="27.75" customHeight="1" thickBot="1" x14ac:dyDescent="0.3">
      <c r="A74" s="1000"/>
      <c r="B74" s="1077"/>
      <c r="C74" s="980"/>
      <c r="D74" s="971" t="s">
        <v>86</v>
      </c>
      <c r="E74" s="971"/>
      <c r="F74" s="971"/>
      <c r="G74" s="968">
        <f>+G33</f>
        <v>788.91533982283033</v>
      </c>
      <c r="H74" s="968"/>
      <c r="I74" s="971"/>
      <c r="J74" s="969"/>
      <c r="K74" s="1032"/>
      <c r="L74" s="1006"/>
      <c r="M74" s="1044"/>
    </row>
    <row r="75" spans="1:13" ht="19.5" customHeight="1" thickBot="1" x14ac:dyDescent="0.25">
      <c r="A75" s="1000"/>
      <c r="B75" s="1077"/>
      <c r="C75" s="980"/>
      <c r="D75" s="971" t="s">
        <v>13</v>
      </c>
      <c r="E75" s="971"/>
      <c r="F75" s="971"/>
      <c r="G75" s="971"/>
      <c r="H75" s="971"/>
      <c r="I75" s="971"/>
      <c r="J75" s="969"/>
      <c r="K75" s="1032"/>
      <c r="L75" s="1006"/>
      <c r="M75" s="1044"/>
    </row>
    <row r="76" spans="1:13" ht="19.5" customHeight="1" thickBot="1" x14ac:dyDescent="0.25">
      <c r="A76" s="1000"/>
      <c r="B76" s="1077"/>
      <c r="C76" s="980"/>
      <c r="D76" s="971"/>
      <c r="E76" s="971"/>
      <c r="F76" s="971"/>
      <c r="G76" s="971"/>
      <c r="H76" s="971"/>
      <c r="I76" s="971"/>
      <c r="J76" s="969"/>
      <c r="K76" s="1032"/>
      <c r="L76" s="1006"/>
      <c r="M76" s="1044"/>
    </row>
    <row r="77" spans="1:13" ht="14.25" customHeight="1" thickBot="1" x14ac:dyDescent="0.25">
      <c r="A77" s="1000"/>
      <c r="B77" s="1077"/>
      <c r="C77" s="980"/>
      <c r="D77" s="971"/>
      <c r="E77" s="971"/>
      <c r="F77" s="971"/>
      <c r="G77" s="971"/>
      <c r="H77" s="971"/>
      <c r="I77" s="971"/>
      <c r="J77" s="969"/>
      <c r="K77" s="1032"/>
      <c r="L77" s="1006"/>
      <c r="M77" s="1044"/>
    </row>
    <row r="78" spans="1:13" ht="9" customHeight="1" thickBot="1" x14ac:dyDescent="0.25">
      <c r="A78" s="1000"/>
      <c r="B78" s="1078"/>
      <c r="C78" s="981"/>
      <c r="D78" s="971"/>
      <c r="E78" s="971"/>
      <c r="F78" s="971"/>
      <c r="G78" s="971"/>
      <c r="H78" s="971"/>
      <c r="I78" s="971"/>
      <c r="J78" s="969"/>
      <c r="K78" s="1032"/>
      <c r="L78" s="1006"/>
      <c r="M78" s="1044"/>
    </row>
    <row r="79" spans="1:13" ht="36.75" customHeight="1" thickBot="1" x14ac:dyDescent="0.25">
      <c r="A79" s="1000"/>
      <c r="B79" s="975" t="s">
        <v>79</v>
      </c>
      <c r="C79" s="975"/>
      <c r="D79" s="967" t="s">
        <v>71</v>
      </c>
      <c r="E79" s="967" t="s">
        <v>72</v>
      </c>
      <c r="F79" s="967"/>
      <c r="G79" s="967" t="s">
        <v>73</v>
      </c>
      <c r="H79" s="967"/>
      <c r="I79" s="999" t="s">
        <v>74</v>
      </c>
      <c r="J79" s="1033"/>
      <c r="K79" s="1033"/>
      <c r="L79" s="1033"/>
      <c r="M79" s="1084"/>
    </row>
    <row r="80" spans="1:13" ht="19.5" customHeight="1" thickBot="1" x14ac:dyDescent="0.25">
      <c r="A80" s="1000"/>
      <c r="B80" s="975"/>
      <c r="C80" s="975"/>
      <c r="D80" s="967"/>
      <c r="E80" s="967"/>
      <c r="F80" s="967"/>
      <c r="G80" s="967"/>
      <c r="H80" s="967"/>
      <c r="I80" s="999"/>
      <c r="J80" s="1033"/>
      <c r="K80" s="1033"/>
      <c r="L80" s="1033"/>
      <c r="M80" s="1084"/>
    </row>
    <row r="81" spans="1:18" ht="39.75" customHeight="1" thickBot="1" x14ac:dyDescent="0.3">
      <c r="A81" s="1000"/>
      <c r="B81" s="973" t="s">
        <v>102</v>
      </c>
      <c r="C81" s="970">
        <f>'ES CT Electric Table A  '!M22/1000</f>
        <v>59525.916678755435</v>
      </c>
      <c r="D81" s="451" t="s">
        <v>106</v>
      </c>
      <c r="E81" s="997">
        <f>'2014-24 ESCTETable D3-lftimekWh'!O16*1000</f>
        <v>239121255.42095175</v>
      </c>
      <c r="F81" s="997"/>
      <c r="G81" s="997">
        <f>'2014-24 ES CT E Table D1-kW'!O16</f>
        <v>3904.1674959900247</v>
      </c>
      <c r="H81" s="997"/>
      <c r="I81" s="449">
        <f>(E81*E87+G81*G87)/K83</f>
        <v>0.16777740808023067</v>
      </c>
      <c r="J81" s="1014" t="s">
        <v>92</v>
      </c>
      <c r="K81" s="1014" t="s">
        <v>91</v>
      </c>
      <c r="L81" s="1025">
        <f>0.21-0.0025</f>
        <v>0.20749999999999999</v>
      </c>
      <c r="M81" s="1012">
        <f>$D$11*L81</f>
        <v>1429366.8417403942</v>
      </c>
    </row>
    <row r="82" spans="1:18" ht="44.25" customHeight="1" thickBot="1" x14ac:dyDescent="0.3">
      <c r="A82" s="1000"/>
      <c r="B82" s="973"/>
      <c r="C82" s="970"/>
      <c r="D82" s="451" t="s">
        <v>97</v>
      </c>
      <c r="E82" s="997">
        <f>'2014-24 ESCTETable D3-lftimekWh'!M17*1000</f>
        <v>1109969778.5899999</v>
      </c>
      <c r="F82" s="997"/>
      <c r="G82" s="997">
        <f>'2014-24 ES CT E Table D1-kW'!O17</f>
        <v>9435.8255262770635</v>
      </c>
      <c r="H82" s="997"/>
      <c r="I82" s="449">
        <f>+(E82*E87+G82*G87)/K83</f>
        <v>0.66957434479742017</v>
      </c>
      <c r="J82" s="1014"/>
      <c r="K82" s="1014"/>
      <c r="L82" s="1025"/>
      <c r="M82" s="1012"/>
    </row>
    <row r="83" spans="1:18" ht="60.75" customHeight="1" thickBot="1" x14ac:dyDescent="0.3">
      <c r="A83" s="1000"/>
      <c r="B83" s="973"/>
      <c r="C83" s="970"/>
      <c r="D83" s="451" t="s">
        <v>217</v>
      </c>
      <c r="E83" s="997">
        <f>'2014-24 ESCTETable D3-lftimekWh'!M18*1000</f>
        <v>21032711.550000001</v>
      </c>
      <c r="F83" s="997"/>
      <c r="G83" s="997">
        <f>'2014-24 ES CT E Table D1-kW'!O18</f>
        <v>1522.5475764075486</v>
      </c>
      <c r="H83" s="997"/>
      <c r="I83" s="449">
        <f>(E83*E87+G83*G87)/K83</f>
        <v>2.9583782652396817E-2</v>
      </c>
      <c r="J83" s="1014"/>
      <c r="K83" s="1004">
        <f>E88+G88</f>
        <v>151720501.79442638</v>
      </c>
      <c r="L83" s="1025"/>
      <c r="M83" s="1012"/>
    </row>
    <row r="84" spans="1:18" ht="42.75" customHeight="1" thickBot="1" x14ac:dyDescent="0.3">
      <c r="A84" s="1000"/>
      <c r="B84" s="973"/>
      <c r="C84" s="970"/>
      <c r="D84" s="451" t="s">
        <v>80</v>
      </c>
      <c r="E84" s="997">
        <f>'2014-24 ESCTETable D3-lftimekWh'!M19*1000</f>
        <v>165833042</v>
      </c>
      <c r="F84" s="997"/>
      <c r="G84" s="997">
        <f>'2014-24 ES CT E Table D1-kW'!O19</f>
        <v>4036.2681052938592</v>
      </c>
      <c r="H84" s="997"/>
      <c r="I84" s="449">
        <f>(E84*E87+G84*G87)/K83</f>
        <v>0.1330620589267586</v>
      </c>
      <c r="J84" s="1014"/>
      <c r="K84" s="1004"/>
      <c r="L84" s="1025"/>
      <c r="M84" s="1012"/>
    </row>
    <row r="85" spans="1:18" ht="18.75" customHeight="1" thickBot="1" x14ac:dyDescent="0.3">
      <c r="A85" s="1000"/>
      <c r="B85" s="973"/>
      <c r="C85" s="970"/>
      <c r="D85" s="451" t="s">
        <v>76</v>
      </c>
      <c r="E85" s="998">
        <f>ROUND(SUM(E81:E84),0)</f>
        <v>1535956788</v>
      </c>
      <c r="F85" s="998"/>
      <c r="G85" s="998">
        <f>ROUND(SUM(G81:G84),0)</f>
        <v>18899</v>
      </c>
      <c r="H85" s="998"/>
      <c r="I85" s="584"/>
      <c r="J85" s="1014"/>
      <c r="K85" s="1004"/>
      <c r="L85" s="1025"/>
      <c r="M85" s="1012"/>
    </row>
    <row r="86" spans="1:18" ht="18.75" customHeight="1" thickBot="1" x14ac:dyDescent="0.25">
      <c r="A86" s="1000"/>
      <c r="B86" s="973"/>
      <c r="C86" s="970"/>
      <c r="D86" s="969"/>
      <c r="E86" s="969"/>
      <c r="F86" s="969"/>
      <c r="G86" s="969"/>
      <c r="H86" s="969"/>
      <c r="I86" s="969"/>
      <c r="J86" s="1014"/>
      <c r="K86" s="1004"/>
      <c r="L86" s="1025"/>
      <c r="M86" s="1012"/>
    </row>
    <row r="87" spans="1:18" ht="36.75" customHeight="1" thickBot="1" x14ac:dyDescent="0.25">
      <c r="A87" s="1000"/>
      <c r="B87" s="973"/>
      <c r="C87" s="970"/>
      <c r="D87" s="451" t="s">
        <v>77</v>
      </c>
      <c r="E87" s="463">
        <f>E88/E85</f>
        <v>7.5305966059189197E-2</v>
      </c>
      <c r="F87" s="463" t="s">
        <v>4</v>
      </c>
      <c r="G87" s="596">
        <f>G88/G85</f>
        <v>1907.7089818994202</v>
      </c>
      <c r="H87" s="586" t="s">
        <v>5</v>
      </c>
      <c r="I87" s="1026"/>
      <c r="J87" s="1014"/>
      <c r="K87" s="1004"/>
      <c r="L87" s="1025"/>
      <c r="M87" s="1012"/>
    </row>
    <row r="88" spans="1:18" ht="26.25" customHeight="1" thickBot="1" x14ac:dyDescent="0.25">
      <c r="A88" s="1000"/>
      <c r="B88" s="973"/>
      <c r="C88" s="970"/>
      <c r="D88" s="452" t="s">
        <v>216</v>
      </c>
      <c r="E88" s="596">
        <f>'[18]Eversource Elect_Table_B'!$BQ$46</f>
        <v>115666709.74550925</v>
      </c>
      <c r="F88" s="590"/>
      <c r="G88" s="596">
        <f>'[18]Eversource Elect_Table_B'!$BY$46</f>
        <v>36053792.048917145</v>
      </c>
      <c r="H88" s="586"/>
      <c r="I88" s="1027"/>
      <c r="J88" s="1014"/>
      <c r="K88" s="1004"/>
      <c r="L88" s="1025"/>
      <c r="M88" s="1012"/>
      <c r="O88" s="151">
        <f>SUM(L31:L77)</f>
        <v>0.47500000000000014</v>
      </c>
      <c r="P88" t="s">
        <v>103</v>
      </c>
      <c r="R88" s="37">
        <f>SUM(M31:M77)</f>
        <v>3272044.5774780102</v>
      </c>
    </row>
    <row r="89" spans="1:18" ht="24" customHeight="1" thickBot="1" x14ac:dyDescent="0.25">
      <c r="A89" s="1000"/>
      <c r="B89" s="973"/>
      <c r="C89" s="970"/>
      <c r="D89" s="1029" t="s">
        <v>81</v>
      </c>
      <c r="E89" s="1030"/>
      <c r="F89" s="1030"/>
      <c r="G89" s="1030"/>
      <c r="H89" s="1031"/>
      <c r="I89" s="1028"/>
      <c r="J89" s="1014"/>
      <c r="K89" s="1004"/>
      <c r="L89" s="1025"/>
      <c r="M89" s="1012"/>
      <c r="O89">
        <f>SUM(L79:L115)</f>
        <v>0.5149999999999999</v>
      </c>
      <c r="P89" t="s">
        <v>104</v>
      </c>
      <c r="R89" s="37">
        <f>SUM(M81:M115)</f>
        <v>3547585.1734761596</v>
      </c>
    </row>
    <row r="90" spans="1:18" ht="50.25" customHeight="1" thickBot="1" x14ac:dyDescent="0.25">
      <c r="A90" s="1000"/>
      <c r="B90" s="602" t="s">
        <v>87</v>
      </c>
      <c r="C90" s="453"/>
      <c r="D90" s="998" t="s">
        <v>83</v>
      </c>
      <c r="E90" s="998"/>
      <c r="F90" s="998"/>
      <c r="G90" s="998"/>
      <c r="H90" s="998"/>
      <c r="I90" s="581">
        <f>K83-C81*1000</f>
        <v>92194585.115670949</v>
      </c>
      <c r="J90" s="589"/>
      <c r="K90" s="600">
        <f>I90</f>
        <v>92194585.115670949</v>
      </c>
      <c r="L90" s="605">
        <f>0.21-0.0025</f>
        <v>0.20749999999999999</v>
      </c>
      <c r="M90" s="600">
        <f>$D$11*L90</f>
        <v>1429366.8417403942</v>
      </c>
      <c r="O90" s="543">
        <f>L116</f>
        <v>0.01</v>
      </c>
      <c r="P90" s="41" t="s">
        <v>370</v>
      </c>
      <c r="R90" s="37">
        <f>M116</f>
        <v>68885.148999537079</v>
      </c>
    </row>
    <row r="91" spans="1:18" ht="57.75" customHeight="1" thickBot="1" x14ac:dyDescent="0.25">
      <c r="A91" s="1000"/>
      <c r="B91" s="973" t="s">
        <v>317</v>
      </c>
      <c r="C91" s="970">
        <f>'ES CT Electric Table A  '!M19/1000</f>
        <v>32403.8876236656</v>
      </c>
      <c r="D91" s="969" t="s">
        <v>352</v>
      </c>
      <c r="E91" s="969"/>
      <c r="F91" s="969"/>
      <c r="G91" s="969"/>
      <c r="H91" s="969"/>
      <c r="I91" s="969"/>
      <c r="J91" s="969" t="s">
        <v>322</v>
      </c>
      <c r="K91" s="1005" t="s">
        <v>353</v>
      </c>
      <c r="L91" s="1013">
        <v>2.5000000000000001E-2</v>
      </c>
      <c r="M91" s="1004">
        <f>$D$11*L91</f>
        <v>172212.87249884271</v>
      </c>
      <c r="O91" s="151">
        <f>SUM(O88:O90)</f>
        <v>1</v>
      </c>
      <c r="P91" t="s">
        <v>105</v>
      </c>
      <c r="R91" s="37">
        <f>SUM(R88:R90)</f>
        <v>6888514.8999537071</v>
      </c>
    </row>
    <row r="92" spans="1:18" ht="14.25" customHeight="1" thickBot="1" x14ac:dyDescent="0.25">
      <c r="A92" s="1000"/>
      <c r="B92" s="974"/>
      <c r="C92" s="970"/>
      <c r="D92" s="969"/>
      <c r="E92" s="969"/>
      <c r="F92" s="969"/>
      <c r="G92" s="969"/>
      <c r="H92" s="969"/>
      <c r="I92" s="969"/>
      <c r="J92" s="969"/>
      <c r="K92" s="1005"/>
      <c r="L92" s="1013"/>
      <c r="M92" s="1004"/>
      <c r="R92" s="37">
        <f>M117</f>
        <v>6888514.8999537062</v>
      </c>
    </row>
    <row r="93" spans="1:18" ht="93" customHeight="1" thickBot="1" x14ac:dyDescent="0.25">
      <c r="A93" s="1000"/>
      <c r="B93" s="974"/>
      <c r="C93" s="970"/>
      <c r="D93" s="969"/>
      <c r="E93" s="969"/>
      <c r="F93" s="969"/>
      <c r="G93" s="969"/>
      <c r="H93" s="969"/>
      <c r="I93" s="969"/>
      <c r="J93" s="969"/>
      <c r="K93" s="1005"/>
      <c r="L93" s="1013"/>
      <c r="M93" s="1004"/>
      <c r="R93" s="37">
        <f>R91-R92</f>
        <v>0</v>
      </c>
    </row>
    <row r="94" spans="1:18" ht="38.25" customHeight="1" thickBot="1" x14ac:dyDescent="0.25">
      <c r="A94" s="1000"/>
      <c r="B94" s="974"/>
      <c r="C94" s="970"/>
      <c r="D94" s="969"/>
      <c r="E94" s="969"/>
      <c r="F94" s="969"/>
      <c r="G94" s="969"/>
      <c r="H94" s="969"/>
      <c r="I94" s="969"/>
      <c r="J94" s="969"/>
      <c r="K94" s="1005"/>
      <c r="L94" s="1013"/>
      <c r="M94" s="1004"/>
    </row>
    <row r="95" spans="1:18" ht="18.75" customHeight="1" thickBot="1" x14ac:dyDescent="0.25">
      <c r="A95" s="1000"/>
      <c r="B95" s="974"/>
      <c r="C95" s="970"/>
      <c r="D95" s="969"/>
      <c r="E95" s="969"/>
      <c r="F95" s="969"/>
      <c r="G95" s="969"/>
      <c r="H95" s="969"/>
      <c r="I95" s="969"/>
      <c r="J95" s="969"/>
      <c r="K95" s="1005"/>
      <c r="L95" s="1013"/>
      <c r="M95" s="1004"/>
    </row>
    <row r="96" spans="1:18" ht="18.75" customHeight="1" thickBot="1" x14ac:dyDescent="0.25">
      <c r="A96" s="1000"/>
      <c r="B96" s="973" t="s">
        <v>106</v>
      </c>
      <c r="C96" s="970">
        <f>'ES CT Electric Table A  '!M18/1000</f>
        <v>11494.3494752517</v>
      </c>
      <c r="D96" s="1015" t="s">
        <v>321</v>
      </c>
      <c r="E96" s="1015"/>
      <c r="F96" s="1015"/>
      <c r="G96" s="1015"/>
      <c r="H96" s="1015"/>
      <c r="I96" s="1015"/>
      <c r="J96" s="969" t="s">
        <v>323</v>
      </c>
      <c r="K96" s="1005" t="s">
        <v>254</v>
      </c>
      <c r="L96" s="1013">
        <v>0.02</v>
      </c>
      <c r="M96" s="1004">
        <f>$D$11*L96</f>
        <v>137770.29799907416</v>
      </c>
    </row>
    <row r="97" spans="1:13" ht="12" customHeight="1" thickBot="1" x14ac:dyDescent="0.25">
      <c r="A97" s="1000"/>
      <c r="B97" s="973"/>
      <c r="C97" s="970"/>
      <c r="D97" s="1015"/>
      <c r="E97" s="1015"/>
      <c r="F97" s="1015"/>
      <c r="G97" s="1015"/>
      <c r="H97" s="1015"/>
      <c r="I97" s="1015"/>
      <c r="J97" s="969"/>
      <c r="K97" s="1005"/>
      <c r="L97" s="1013"/>
      <c r="M97" s="1004"/>
    </row>
    <row r="98" spans="1:13" ht="21" customHeight="1" thickBot="1" x14ac:dyDescent="0.25">
      <c r="A98" s="1000"/>
      <c r="B98" s="973"/>
      <c r="C98" s="970"/>
      <c r="D98" s="1015"/>
      <c r="E98" s="1015"/>
      <c r="F98" s="1015"/>
      <c r="G98" s="1015"/>
      <c r="H98" s="1015"/>
      <c r="I98" s="1015"/>
      <c r="J98" s="969"/>
      <c r="K98" s="1005"/>
      <c r="L98" s="1013"/>
      <c r="M98" s="1004"/>
    </row>
    <row r="99" spans="1:13" ht="84" customHeight="1" thickBot="1" x14ac:dyDescent="0.25">
      <c r="A99" s="1000"/>
      <c r="B99" s="973"/>
      <c r="C99" s="970"/>
      <c r="D99" s="1015"/>
      <c r="E99" s="1015"/>
      <c r="F99" s="1015"/>
      <c r="G99" s="1015"/>
      <c r="H99" s="1015"/>
      <c r="I99" s="1015"/>
      <c r="J99" s="969"/>
      <c r="K99" s="1005"/>
      <c r="L99" s="1013"/>
      <c r="M99" s="1004"/>
    </row>
    <row r="100" spans="1:13" ht="21" customHeight="1" thickBot="1" x14ac:dyDescent="0.25">
      <c r="A100" s="1000"/>
      <c r="B100" s="973"/>
      <c r="C100" s="970"/>
      <c r="D100" s="1015"/>
      <c r="E100" s="1015"/>
      <c r="F100" s="1015"/>
      <c r="G100" s="1015"/>
      <c r="H100" s="1015"/>
      <c r="I100" s="1015"/>
      <c r="J100" s="969"/>
      <c r="K100" s="1005"/>
      <c r="L100" s="1013"/>
      <c r="M100" s="1004"/>
    </row>
    <row r="101" spans="1:13" ht="6" customHeight="1" thickBot="1" x14ac:dyDescent="0.25">
      <c r="A101" s="1000"/>
      <c r="B101" s="973"/>
      <c r="C101" s="970"/>
      <c r="D101" s="1015"/>
      <c r="E101" s="1015"/>
      <c r="F101" s="1015"/>
      <c r="G101" s="1015"/>
      <c r="H101" s="1015"/>
      <c r="I101" s="1015"/>
      <c r="J101" s="969"/>
      <c r="K101" s="1005"/>
      <c r="L101" s="1013"/>
      <c r="M101" s="1004"/>
    </row>
    <row r="102" spans="1:13" ht="38.25" customHeight="1" thickBot="1" x14ac:dyDescent="0.3">
      <c r="A102" s="1000"/>
      <c r="B102" s="974" t="s">
        <v>80</v>
      </c>
      <c r="C102" s="970">
        <f>'ES CT Electric Table A  '!M21/1000</f>
        <v>12526.5248385636</v>
      </c>
      <c r="D102" s="971" t="s">
        <v>0</v>
      </c>
      <c r="E102" s="971"/>
      <c r="F102" s="971"/>
      <c r="G102" s="972">
        <f>E84</f>
        <v>165833042</v>
      </c>
      <c r="H102" s="972"/>
      <c r="I102" s="971"/>
      <c r="J102" s="969" t="s">
        <v>324</v>
      </c>
      <c r="K102" s="971"/>
      <c r="L102" s="971"/>
      <c r="M102" s="1011"/>
    </row>
    <row r="103" spans="1:13" ht="48" customHeight="1" thickBot="1" x14ac:dyDescent="0.3">
      <c r="A103" s="1000"/>
      <c r="B103" s="974"/>
      <c r="C103" s="970"/>
      <c r="D103" s="971" t="s">
        <v>1</v>
      </c>
      <c r="E103" s="971"/>
      <c r="F103" s="971"/>
      <c r="G103" s="972">
        <f>G84</f>
        <v>4036.2681052938592</v>
      </c>
      <c r="H103" s="972"/>
      <c r="I103" s="971"/>
      <c r="J103" s="969"/>
      <c r="K103" s="971"/>
      <c r="L103" s="971"/>
      <c r="M103" s="1011"/>
    </row>
    <row r="104" spans="1:13" ht="15.75" customHeight="1" thickBot="1" x14ac:dyDescent="0.25">
      <c r="A104" s="1000"/>
      <c r="B104" s="974"/>
      <c r="C104" s="970"/>
      <c r="D104" s="969" t="s">
        <v>354</v>
      </c>
      <c r="E104" s="969"/>
      <c r="F104" s="969"/>
      <c r="G104" s="969"/>
      <c r="H104" s="969"/>
      <c r="I104" s="969"/>
      <c r="J104" s="969" t="s">
        <v>318</v>
      </c>
      <c r="K104" s="1005" t="s">
        <v>355</v>
      </c>
      <c r="L104" s="1006">
        <v>2.5000000000000001E-2</v>
      </c>
      <c r="M104" s="1004">
        <f>$D$11*L104</f>
        <v>172212.87249884271</v>
      </c>
    </row>
    <row r="105" spans="1:13" ht="30" customHeight="1" thickBot="1" x14ac:dyDescent="0.25">
      <c r="A105" s="1000"/>
      <c r="B105" s="974"/>
      <c r="C105" s="970"/>
      <c r="D105" s="969"/>
      <c r="E105" s="969"/>
      <c r="F105" s="969"/>
      <c r="G105" s="969"/>
      <c r="H105" s="969"/>
      <c r="I105" s="969"/>
      <c r="J105" s="969"/>
      <c r="K105" s="1005"/>
      <c r="L105" s="1006"/>
      <c r="M105" s="1004"/>
    </row>
    <row r="106" spans="1:13" ht="89.25" customHeight="1" thickBot="1" x14ac:dyDescent="0.25">
      <c r="A106" s="1000"/>
      <c r="B106" s="974"/>
      <c r="C106" s="970"/>
      <c r="D106" s="969"/>
      <c r="E106" s="969"/>
      <c r="F106" s="969"/>
      <c r="G106" s="969"/>
      <c r="H106" s="969"/>
      <c r="I106" s="969"/>
      <c r="J106" s="969"/>
      <c r="K106" s="1005"/>
      <c r="L106" s="1006"/>
      <c r="M106" s="1004"/>
    </row>
    <row r="107" spans="1:13" ht="21.75" customHeight="1" thickBot="1" x14ac:dyDescent="0.25">
      <c r="A107" s="1000"/>
      <c r="B107" s="1007"/>
      <c r="C107" s="970"/>
      <c r="D107" s="969"/>
      <c r="E107" s="969"/>
      <c r="F107" s="969"/>
      <c r="G107" s="969"/>
      <c r="H107" s="969"/>
      <c r="I107" s="969"/>
      <c r="J107" s="969"/>
      <c r="K107" s="1005"/>
      <c r="L107" s="1006"/>
      <c r="M107" s="1004"/>
    </row>
    <row r="108" spans="1:13" ht="4.5" customHeight="1" thickBot="1" x14ac:dyDescent="0.25">
      <c r="A108" s="1000"/>
      <c r="B108" s="1007"/>
      <c r="C108" s="970"/>
      <c r="D108" s="969"/>
      <c r="E108" s="969"/>
      <c r="F108" s="969"/>
      <c r="G108" s="969"/>
      <c r="H108" s="969"/>
      <c r="I108" s="969"/>
      <c r="J108" s="969"/>
      <c r="K108" s="1005"/>
      <c r="L108" s="1006"/>
      <c r="M108" s="1004"/>
    </row>
    <row r="109" spans="1:13" ht="48" customHeight="1" thickBot="1" x14ac:dyDescent="0.25">
      <c r="A109" s="1000"/>
      <c r="B109" s="1016" t="s">
        <v>340</v>
      </c>
      <c r="C109" s="538" t="s">
        <v>357</v>
      </c>
      <c r="D109" s="1022" t="s">
        <v>366</v>
      </c>
      <c r="E109" s="1023"/>
      <c r="F109" s="1023"/>
      <c r="G109" s="1023"/>
      <c r="H109" s="1023"/>
      <c r="I109" s="1024"/>
      <c r="J109" s="991" t="s">
        <v>365</v>
      </c>
      <c r="K109" s="599"/>
      <c r="L109" s="542">
        <v>3.7499999999999999E-3</v>
      </c>
      <c r="M109" s="597">
        <f t="shared" ref="M109:M113" si="2">$D$11*L109</f>
        <v>25831.930874826405</v>
      </c>
    </row>
    <row r="110" spans="1:13" ht="76.5" customHeight="1" thickBot="1" x14ac:dyDescent="0.25">
      <c r="A110" s="1000"/>
      <c r="B110" s="1017"/>
      <c r="C110" s="539" t="s">
        <v>358</v>
      </c>
      <c r="D110" s="1022" t="s">
        <v>367</v>
      </c>
      <c r="E110" s="1023"/>
      <c r="F110" s="1023"/>
      <c r="G110" s="1023"/>
      <c r="H110" s="1023"/>
      <c r="I110" s="1024"/>
      <c r="J110" s="1018"/>
      <c r="K110" s="599"/>
      <c r="L110" s="542">
        <v>3.7499999999999999E-3</v>
      </c>
      <c r="M110" s="597">
        <f t="shared" si="2"/>
        <v>25831.930874826405</v>
      </c>
    </row>
    <row r="111" spans="1:13" ht="48" customHeight="1" thickBot="1" x14ac:dyDescent="0.25">
      <c r="A111" s="1000"/>
      <c r="B111" s="1017"/>
      <c r="C111" s="539" t="s">
        <v>359</v>
      </c>
      <c r="D111" s="1022" t="s">
        <v>368</v>
      </c>
      <c r="E111" s="1023"/>
      <c r="F111" s="1023"/>
      <c r="G111" s="1023"/>
      <c r="H111" s="1023"/>
      <c r="I111" s="1024"/>
      <c r="J111" s="1018"/>
      <c r="K111" s="599"/>
      <c r="L111" s="542">
        <v>3.7499999999999999E-3</v>
      </c>
      <c r="M111" s="597">
        <f t="shared" si="2"/>
        <v>25831.930874826405</v>
      </c>
    </row>
    <row r="112" spans="1:13" ht="48" customHeight="1" thickBot="1" x14ac:dyDescent="0.25">
      <c r="A112" s="1000"/>
      <c r="B112" s="1017"/>
      <c r="C112" s="540" t="s">
        <v>360</v>
      </c>
      <c r="D112" s="1022" t="s">
        <v>369</v>
      </c>
      <c r="E112" s="1023"/>
      <c r="F112" s="1023"/>
      <c r="G112" s="1023"/>
      <c r="H112" s="1023"/>
      <c r="I112" s="1024"/>
      <c r="J112" s="1018"/>
      <c r="K112" s="599"/>
      <c r="L112" s="542">
        <v>3.7499999999999999E-3</v>
      </c>
      <c r="M112" s="597">
        <f t="shared" si="2"/>
        <v>25831.930874826405</v>
      </c>
    </row>
    <row r="113" spans="1:13" ht="21" customHeight="1" x14ac:dyDescent="0.2">
      <c r="A113" s="1000"/>
      <c r="B113" s="976" t="s">
        <v>151</v>
      </c>
      <c r="C113" s="979">
        <f>'ES CT Electric Table A  '!M20/1000</f>
        <v>3101.1547412745299</v>
      </c>
      <c r="D113" s="982" t="s">
        <v>335</v>
      </c>
      <c r="E113" s="983"/>
      <c r="F113" s="983"/>
      <c r="G113" s="983"/>
      <c r="H113" s="983"/>
      <c r="I113" s="984"/>
      <c r="J113" s="991" t="s">
        <v>274</v>
      </c>
      <c r="K113" s="994" t="s">
        <v>356</v>
      </c>
      <c r="L113" s="1019">
        <v>1.4999999999999999E-2</v>
      </c>
      <c r="M113" s="1008">
        <f t="shared" si="2"/>
        <v>103327.72349930562</v>
      </c>
    </row>
    <row r="114" spans="1:13" ht="105" customHeight="1" x14ac:dyDescent="0.2">
      <c r="A114" s="1000"/>
      <c r="B114" s="977"/>
      <c r="C114" s="980"/>
      <c r="D114" s="985"/>
      <c r="E114" s="986"/>
      <c r="F114" s="986"/>
      <c r="G114" s="986"/>
      <c r="H114" s="986"/>
      <c r="I114" s="987"/>
      <c r="J114" s="992"/>
      <c r="K114" s="995"/>
      <c r="L114" s="1020"/>
      <c r="M114" s="1009"/>
    </row>
    <row r="115" spans="1:13" ht="21.75" customHeight="1" thickBot="1" x14ac:dyDescent="0.25">
      <c r="A115" s="1000"/>
      <c r="B115" s="978"/>
      <c r="C115" s="981"/>
      <c r="D115" s="988"/>
      <c r="E115" s="989"/>
      <c r="F115" s="989"/>
      <c r="G115" s="989"/>
      <c r="H115" s="989"/>
      <c r="I115" s="990"/>
      <c r="J115" s="993"/>
      <c r="K115" s="996"/>
      <c r="L115" s="1021"/>
      <c r="M115" s="1010"/>
    </row>
    <row r="116" spans="1:13" ht="71.25" customHeight="1" thickBot="1" x14ac:dyDescent="0.25">
      <c r="A116" s="1000"/>
      <c r="B116" s="585" t="s">
        <v>361</v>
      </c>
      <c r="C116" s="587"/>
      <c r="D116" s="1001" t="s">
        <v>362</v>
      </c>
      <c r="E116" s="1002"/>
      <c r="F116" s="1002"/>
      <c r="G116" s="1002"/>
      <c r="H116" s="1002"/>
      <c r="I116" s="1003"/>
      <c r="J116" s="586" t="s">
        <v>363</v>
      </c>
      <c r="K116" s="601" t="s">
        <v>364</v>
      </c>
      <c r="L116" s="541">
        <v>0.01</v>
      </c>
      <c r="M116" s="598">
        <f>$D$11*L116</f>
        <v>68885.148999537079</v>
      </c>
    </row>
    <row r="117" spans="1:13" ht="26.25" customHeight="1" thickBot="1" x14ac:dyDescent="0.3">
      <c r="A117" s="1000"/>
      <c r="B117" s="964" t="s">
        <v>82</v>
      </c>
      <c r="C117" s="965"/>
      <c r="D117" s="965"/>
      <c r="E117" s="965"/>
      <c r="F117" s="965"/>
      <c r="G117" s="965"/>
      <c r="H117" s="965"/>
      <c r="I117" s="965"/>
      <c r="J117" s="965"/>
      <c r="K117" s="966"/>
      <c r="L117" s="455">
        <f>SUM(L31:L116)</f>
        <v>1.0000000000000002</v>
      </c>
      <c r="M117" s="456">
        <f>SUM(M31:M116)</f>
        <v>6888514.8999537062</v>
      </c>
    </row>
    <row r="118" spans="1:13" ht="38.25" customHeight="1" x14ac:dyDescent="0.25">
      <c r="B118" s="58"/>
      <c r="C118" s="58"/>
      <c r="D118" s="152"/>
      <c r="E118" s="58"/>
      <c r="F118" s="58"/>
      <c r="G118" s="58"/>
      <c r="H118" s="58"/>
      <c r="I118" s="58"/>
      <c r="J118" s="58"/>
      <c r="K118" s="58"/>
      <c r="L118" s="59"/>
      <c r="M118" s="60"/>
    </row>
    <row r="119" spans="1:13" ht="21.75" customHeight="1" x14ac:dyDescent="0.25">
      <c r="B119" s="58"/>
      <c r="C119" s="58"/>
      <c r="D119" s="58"/>
      <c r="E119" s="58"/>
      <c r="F119" s="58"/>
      <c r="G119" s="58"/>
      <c r="H119" s="58"/>
      <c r="I119" s="58"/>
      <c r="J119" s="58"/>
      <c r="K119" s="58"/>
      <c r="L119" s="59"/>
      <c r="M119" s="60"/>
    </row>
    <row r="120" spans="1:13" ht="30" customHeight="1" x14ac:dyDescent="0.25">
      <c r="B120" s="58"/>
      <c r="C120" s="58"/>
      <c r="D120" s="58"/>
      <c r="E120" s="58"/>
      <c r="F120" s="58"/>
      <c r="G120" s="58"/>
      <c r="H120" s="58"/>
      <c r="I120" s="58"/>
      <c r="J120" s="58"/>
      <c r="K120" s="58"/>
      <c r="L120" s="59"/>
      <c r="M120" s="60"/>
    </row>
    <row r="121" spans="1:13" ht="18.75" customHeight="1" x14ac:dyDescent="0.25">
      <c r="B121" s="58"/>
      <c r="C121" s="58"/>
      <c r="D121" s="58"/>
      <c r="E121" s="58"/>
      <c r="F121" s="58"/>
      <c r="G121" s="58"/>
      <c r="H121" s="58"/>
      <c r="I121" s="58"/>
      <c r="J121" s="58"/>
      <c r="K121" s="58"/>
      <c r="L121" s="59"/>
      <c r="M121" s="60"/>
    </row>
    <row r="122" spans="1:13" ht="18.75" customHeight="1" x14ac:dyDescent="0.25">
      <c r="B122" s="58"/>
      <c r="C122" s="58"/>
      <c r="D122" s="58"/>
      <c r="E122" s="58"/>
      <c r="F122" s="58"/>
      <c r="G122" s="58"/>
      <c r="H122" s="58"/>
      <c r="I122" s="58"/>
      <c r="J122" s="58"/>
      <c r="K122" s="58"/>
      <c r="L122" s="59"/>
      <c r="M122" s="60"/>
    </row>
    <row r="123" spans="1:13" ht="18.75" customHeight="1" x14ac:dyDescent="0.25">
      <c r="B123" s="58"/>
      <c r="C123" s="58"/>
      <c r="D123" s="58"/>
      <c r="E123" s="58"/>
      <c r="F123" s="58"/>
      <c r="G123" s="58"/>
      <c r="H123" s="58"/>
      <c r="I123" s="58"/>
      <c r="J123" s="58"/>
      <c r="K123" s="58"/>
      <c r="L123" s="59"/>
      <c r="M123" s="60"/>
    </row>
    <row r="124" spans="1:13" ht="30.75" customHeight="1" x14ac:dyDescent="0.25">
      <c r="B124" s="58"/>
      <c r="C124" s="58"/>
      <c r="D124" s="58"/>
      <c r="E124" s="58"/>
      <c r="F124" s="58"/>
      <c r="G124" s="58"/>
      <c r="H124" s="58"/>
      <c r="I124" s="58"/>
      <c r="J124" s="58"/>
      <c r="K124" s="58"/>
      <c r="L124" s="59"/>
      <c r="M124" s="60"/>
    </row>
    <row r="125" spans="1:13" ht="18.75" customHeight="1" x14ac:dyDescent="0.25">
      <c r="B125" s="58"/>
      <c r="C125" s="58"/>
      <c r="D125" s="58"/>
      <c r="E125" s="58"/>
      <c r="F125" s="58"/>
      <c r="G125" s="58"/>
      <c r="H125" s="58"/>
      <c r="I125" s="58"/>
      <c r="J125" s="58"/>
      <c r="K125" s="58"/>
      <c r="L125" s="59"/>
      <c r="M125" s="60"/>
    </row>
    <row r="126" spans="1:13" ht="18.75" customHeight="1" x14ac:dyDescent="0.25">
      <c r="B126" s="58"/>
      <c r="C126" s="58"/>
      <c r="D126" s="58"/>
      <c r="E126" s="58"/>
      <c r="F126" s="58"/>
      <c r="G126" s="58"/>
      <c r="H126" s="58"/>
      <c r="I126" s="58"/>
      <c r="J126" s="58"/>
      <c r="K126" s="58"/>
      <c r="L126" s="59"/>
      <c r="M126" s="60"/>
    </row>
    <row r="127" spans="1:13" ht="18.75" customHeight="1" x14ac:dyDescent="0.25">
      <c r="B127" s="58"/>
      <c r="C127" s="58"/>
      <c r="D127" s="58"/>
      <c r="E127" s="58"/>
      <c r="F127" s="58"/>
      <c r="G127" s="58"/>
      <c r="H127" s="58"/>
      <c r="I127" s="58"/>
      <c r="J127" s="58"/>
      <c r="K127" s="58"/>
      <c r="L127" s="59"/>
      <c r="M127" s="60"/>
    </row>
    <row r="128" spans="1:13" ht="23.25" customHeight="1" x14ac:dyDescent="0.25">
      <c r="B128" s="58"/>
      <c r="C128" s="58"/>
      <c r="D128" s="58"/>
      <c r="E128" s="58"/>
      <c r="F128" s="58"/>
      <c r="G128" s="58"/>
      <c r="H128" s="58"/>
      <c r="I128" s="58"/>
      <c r="J128" s="58"/>
      <c r="K128" s="58"/>
      <c r="L128" s="59"/>
      <c r="M128" s="60"/>
    </row>
    <row r="129" spans="2:13" ht="19.5" customHeight="1" x14ac:dyDescent="0.25">
      <c r="B129" s="58"/>
      <c r="C129" s="58"/>
      <c r="D129" s="58"/>
      <c r="E129" s="58"/>
      <c r="F129" s="58"/>
      <c r="G129" s="58"/>
      <c r="H129" s="58"/>
      <c r="I129" s="58"/>
      <c r="J129" s="58"/>
      <c r="K129" s="58"/>
      <c r="L129" s="59"/>
      <c r="M129" s="60"/>
    </row>
    <row r="130" spans="2:13" ht="15" x14ac:dyDescent="0.25">
      <c r="B130" s="58"/>
      <c r="C130" s="58"/>
      <c r="D130" s="58"/>
      <c r="E130" s="58"/>
      <c r="F130" s="58"/>
      <c r="G130" s="58"/>
      <c r="H130" s="58"/>
      <c r="I130" s="58"/>
      <c r="J130" s="58"/>
      <c r="K130" s="58"/>
      <c r="L130" s="59"/>
      <c r="M130" s="60"/>
    </row>
    <row r="131" spans="2:13" ht="15" x14ac:dyDescent="0.25">
      <c r="B131" s="58"/>
      <c r="C131" s="58"/>
      <c r="D131" s="58"/>
      <c r="E131" s="58"/>
      <c r="F131" s="58"/>
      <c r="G131" s="58"/>
      <c r="H131" s="58"/>
      <c r="I131" s="58"/>
      <c r="J131" s="58"/>
      <c r="K131" s="58"/>
      <c r="L131" s="59"/>
      <c r="M131" s="60"/>
    </row>
    <row r="132" spans="2:13" ht="15" x14ac:dyDescent="0.25">
      <c r="B132" s="58"/>
      <c r="C132" s="58"/>
      <c r="D132" s="58"/>
      <c r="E132" s="58"/>
      <c r="F132" s="58"/>
      <c r="G132" s="58"/>
      <c r="H132" s="58"/>
      <c r="I132" s="58"/>
      <c r="J132" s="58"/>
      <c r="K132" s="58"/>
      <c r="L132" s="59"/>
      <c r="M132" s="60"/>
    </row>
    <row r="133" spans="2:13" ht="15" x14ac:dyDescent="0.25">
      <c r="B133" s="58"/>
      <c r="C133" s="58"/>
      <c r="D133" s="58"/>
      <c r="E133" s="58"/>
      <c r="F133" s="58"/>
      <c r="G133" s="58"/>
      <c r="H133" s="58"/>
      <c r="I133" s="58"/>
      <c r="J133" s="58"/>
      <c r="K133" s="58"/>
      <c r="L133" s="59"/>
      <c r="M133" s="60"/>
    </row>
    <row r="134" spans="2:13" ht="15" x14ac:dyDescent="0.25">
      <c r="B134" s="58"/>
      <c r="C134" s="58"/>
      <c r="D134" s="58"/>
      <c r="E134" s="58"/>
      <c r="F134" s="58"/>
      <c r="G134" s="58"/>
      <c r="H134" s="58"/>
      <c r="I134" s="58"/>
      <c r="J134" s="58"/>
      <c r="K134" s="58"/>
      <c r="L134" s="59"/>
      <c r="M134" s="60"/>
    </row>
    <row r="135" spans="2:13" ht="15" x14ac:dyDescent="0.25">
      <c r="B135" s="58"/>
      <c r="C135" s="58"/>
      <c r="D135" s="58"/>
      <c r="E135" s="58"/>
      <c r="F135" s="58"/>
      <c r="G135" s="58"/>
      <c r="H135" s="58"/>
      <c r="I135" s="58"/>
      <c r="J135" s="58"/>
      <c r="K135" s="58"/>
      <c r="L135" s="59"/>
      <c r="M135" s="60"/>
    </row>
    <row r="136" spans="2:13" ht="15" x14ac:dyDescent="0.25">
      <c r="B136" s="58"/>
      <c r="C136" s="58"/>
      <c r="D136" s="58"/>
      <c r="E136" s="58"/>
      <c r="F136" s="58"/>
      <c r="G136" s="58"/>
      <c r="H136" s="58"/>
      <c r="I136" s="58"/>
      <c r="J136" s="58"/>
      <c r="K136" s="58"/>
      <c r="L136" s="59"/>
      <c r="M136" s="60"/>
    </row>
    <row r="137" spans="2:13" ht="15" x14ac:dyDescent="0.25">
      <c r="B137" s="58"/>
      <c r="C137" s="58"/>
      <c r="D137" s="58"/>
      <c r="E137" s="58"/>
      <c r="F137" s="58"/>
      <c r="G137" s="58"/>
      <c r="H137" s="58"/>
      <c r="I137" s="58"/>
      <c r="J137" s="58"/>
      <c r="K137" s="58"/>
      <c r="L137" s="59"/>
      <c r="M137" s="60"/>
    </row>
    <row r="138" spans="2:13" ht="15" x14ac:dyDescent="0.25">
      <c r="B138" s="58"/>
      <c r="C138" s="58"/>
      <c r="D138" s="58"/>
      <c r="E138" s="58"/>
      <c r="F138" s="58"/>
      <c r="G138" s="58"/>
      <c r="H138" s="58"/>
      <c r="I138" s="58"/>
      <c r="J138" s="58"/>
      <c r="K138" s="58"/>
      <c r="L138" s="59"/>
      <c r="M138" s="60"/>
    </row>
    <row r="139" spans="2:13" ht="15" x14ac:dyDescent="0.25">
      <c r="B139" s="58"/>
      <c r="C139" s="58"/>
      <c r="D139" s="58"/>
      <c r="E139" s="58"/>
      <c r="F139" s="58"/>
      <c r="G139" s="58"/>
      <c r="H139" s="58"/>
      <c r="I139" s="58"/>
      <c r="J139" s="58"/>
      <c r="K139" s="58"/>
      <c r="L139" s="59"/>
      <c r="M139" s="60"/>
    </row>
    <row r="140" spans="2:13" ht="15" x14ac:dyDescent="0.25">
      <c r="B140" s="58"/>
      <c r="C140" s="58"/>
      <c r="D140" s="58"/>
      <c r="E140" s="58"/>
      <c r="F140" s="58"/>
      <c r="G140" s="58"/>
      <c r="H140" s="58"/>
      <c r="I140" s="58"/>
      <c r="J140" s="58"/>
      <c r="K140" s="58"/>
      <c r="L140" s="59"/>
      <c r="M140" s="60"/>
    </row>
    <row r="141" spans="2:13" ht="15" x14ac:dyDescent="0.25">
      <c r="B141" s="58"/>
      <c r="C141" s="58"/>
      <c r="D141" s="58"/>
      <c r="E141" s="58"/>
      <c r="F141" s="58"/>
      <c r="G141" s="58"/>
      <c r="H141" s="58"/>
      <c r="I141" s="58"/>
      <c r="J141" s="58"/>
      <c r="K141" s="58"/>
      <c r="L141" s="59"/>
      <c r="M141" s="60"/>
    </row>
  </sheetData>
  <mergeCells count="205">
    <mergeCell ref="D66:I66"/>
    <mergeCell ref="D103:F103"/>
    <mergeCell ref="G103:H103"/>
    <mergeCell ref="D104:I108"/>
    <mergeCell ref="J104:J108"/>
    <mergeCell ref="K104:K108"/>
    <mergeCell ref="L104:L108"/>
    <mergeCell ref="M113:M115"/>
    <mergeCell ref="D116:I116"/>
    <mergeCell ref="M96:M101"/>
    <mergeCell ref="M102:M103"/>
    <mergeCell ref="M104:M108"/>
    <mergeCell ref="J109:J112"/>
    <mergeCell ref="D110:I110"/>
    <mergeCell ref="D111:I111"/>
    <mergeCell ref="D112:I112"/>
    <mergeCell ref="J91:J95"/>
    <mergeCell ref="L81:L89"/>
    <mergeCell ref="M81:M89"/>
    <mergeCell ref="E82:F82"/>
    <mergeCell ref="G82:H82"/>
    <mergeCell ref="E83:F83"/>
    <mergeCell ref="G83:H83"/>
    <mergeCell ref="K83:K89"/>
    <mergeCell ref="A96:A117"/>
    <mergeCell ref="B96:B101"/>
    <mergeCell ref="C96:C101"/>
    <mergeCell ref="D96:I101"/>
    <mergeCell ref="J96:J101"/>
    <mergeCell ref="K96:K101"/>
    <mergeCell ref="L96:L101"/>
    <mergeCell ref="B102:B108"/>
    <mergeCell ref="C102:C108"/>
    <mergeCell ref="D102:F102"/>
    <mergeCell ref="G102:H102"/>
    <mergeCell ref="I102:I103"/>
    <mergeCell ref="J102:J103"/>
    <mergeCell ref="K102:K103"/>
    <mergeCell ref="L102:L103"/>
    <mergeCell ref="B109:B112"/>
    <mergeCell ref="D109:I109"/>
    <mergeCell ref="L91:L95"/>
    <mergeCell ref="M91:M95"/>
    <mergeCell ref="J79:J80"/>
    <mergeCell ref="K79:K80"/>
    <mergeCell ref="L79:L80"/>
    <mergeCell ref="M79:M80"/>
    <mergeCell ref="B117:K117"/>
    <mergeCell ref="B113:B115"/>
    <mergeCell ref="C113:C115"/>
    <mergeCell ref="D113:I115"/>
    <mergeCell ref="J113:J115"/>
    <mergeCell ref="K113:K115"/>
    <mergeCell ref="L113:L115"/>
    <mergeCell ref="B81:B89"/>
    <mergeCell ref="C81:C89"/>
    <mergeCell ref="E81:F81"/>
    <mergeCell ref="G81:H81"/>
    <mergeCell ref="J81:J89"/>
    <mergeCell ref="K81:K82"/>
    <mergeCell ref="D89:H89"/>
    <mergeCell ref="K91:K95"/>
    <mergeCell ref="A79:A95"/>
    <mergeCell ref="B79:C80"/>
    <mergeCell ref="D79:D80"/>
    <mergeCell ref="E79:F80"/>
    <mergeCell ref="G79:H80"/>
    <mergeCell ref="I79:I80"/>
    <mergeCell ref="G85:H85"/>
    <mergeCell ref="D86:I86"/>
    <mergeCell ref="I87:I89"/>
    <mergeCell ref="D90:H90"/>
    <mergeCell ref="B91:B95"/>
    <mergeCell ref="C91:C95"/>
    <mergeCell ref="D91:I95"/>
    <mergeCell ref="E84:F84"/>
    <mergeCell ref="G84:H84"/>
    <mergeCell ref="E85:F85"/>
    <mergeCell ref="B73:B78"/>
    <mergeCell ref="C73:C78"/>
    <mergeCell ref="D73:F73"/>
    <mergeCell ref="G73:H73"/>
    <mergeCell ref="I73:I74"/>
    <mergeCell ref="J73:J78"/>
    <mergeCell ref="K73:K78"/>
    <mergeCell ref="L73:L78"/>
    <mergeCell ref="M73:M78"/>
    <mergeCell ref="D75:I78"/>
    <mergeCell ref="J67:J68"/>
    <mergeCell ref="K67:K68"/>
    <mergeCell ref="L67:L68"/>
    <mergeCell ref="M67:M68"/>
    <mergeCell ref="B69:B72"/>
    <mergeCell ref="C69:C72"/>
    <mergeCell ref="D69:I72"/>
    <mergeCell ref="J69:J72"/>
    <mergeCell ref="K69:K72"/>
    <mergeCell ref="L69:L72"/>
    <mergeCell ref="M69:M72"/>
    <mergeCell ref="I60:I61"/>
    <mergeCell ref="J60:J61"/>
    <mergeCell ref="K60:K61"/>
    <mergeCell ref="L60:L61"/>
    <mergeCell ref="M60:M61"/>
    <mergeCell ref="D61:F61"/>
    <mergeCell ref="G61:H61"/>
    <mergeCell ref="D62:I65"/>
    <mergeCell ref="J62:J65"/>
    <mergeCell ref="K62:K65"/>
    <mergeCell ref="L62:L65"/>
    <mergeCell ref="M62:M65"/>
    <mergeCell ref="J53:J54"/>
    <mergeCell ref="K53:K54"/>
    <mergeCell ref="L53:L54"/>
    <mergeCell ref="M53:M54"/>
    <mergeCell ref="D54:F54"/>
    <mergeCell ref="G54:H54"/>
    <mergeCell ref="A53:A78"/>
    <mergeCell ref="B53:B59"/>
    <mergeCell ref="C53:C59"/>
    <mergeCell ref="D53:F53"/>
    <mergeCell ref="G53:H53"/>
    <mergeCell ref="I53:I54"/>
    <mergeCell ref="D55:I59"/>
    <mergeCell ref="D67:I68"/>
    <mergeCell ref="D74:F74"/>
    <mergeCell ref="G74:H74"/>
    <mergeCell ref="J55:J59"/>
    <mergeCell ref="K55:K59"/>
    <mergeCell ref="L55:L59"/>
    <mergeCell ref="M55:M59"/>
    <mergeCell ref="B60:B68"/>
    <mergeCell ref="C60:C68"/>
    <mergeCell ref="D60:F60"/>
    <mergeCell ref="G60:H60"/>
    <mergeCell ref="K46:K47"/>
    <mergeCell ref="L46:L47"/>
    <mergeCell ref="M46:M47"/>
    <mergeCell ref="D47:F47"/>
    <mergeCell ref="G47:H47"/>
    <mergeCell ref="D48:I50"/>
    <mergeCell ref="J48:J50"/>
    <mergeCell ref="K48:K50"/>
    <mergeCell ref="L48:L50"/>
    <mergeCell ref="M48:M50"/>
    <mergeCell ref="B46:B52"/>
    <mergeCell ref="C46:C52"/>
    <mergeCell ref="D46:F46"/>
    <mergeCell ref="G46:H46"/>
    <mergeCell ref="I46:I47"/>
    <mergeCell ref="J46:J47"/>
    <mergeCell ref="D52:I52"/>
    <mergeCell ref="D41:I41"/>
    <mergeCell ref="I42:I43"/>
    <mergeCell ref="E43:F43"/>
    <mergeCell ref="G43:H43"/>
    <mergeCell ref="D44:I44"/>
    <mergeCell ref="D45:G45"/>
    <mergeCell ref="H45:I45"/>
    <mergeCell ref="D51:I51"/>
    <mergeCell ref="M31:M44"/>
    <mergeCell ref="E33:F33"/>
    <mergeCell ref="G33:H33"/>
    <mergeCell ref="E34:F34"/>
    <mergeCell ref="G34:H34"/>
    <mergeCell ref="E35:F35"/>
    <mergeCell ref="G35:H35"/>
    <mergeCell ref="K35:K44"/>
    <mergeCell ref="E36:F36"/>
    <mergeCell ref="G36:H36"/>
    <mergeCell ref="D31:I32"/>
    <mergeCell ref="J31:J44"/>
    <mergeCell ref="K31:K34"/>
    <mergeCell ref="L31:L44"/>
    <mergeCell ref="E37:F37"/>
    <mergeCell ref="G37:H37"/>
    <mergeCell ref="E38:F38"/>
    <mergeCell ref="G38:H38"/>
    <mergeCell ref="D39:I39"/>
    <mergeCell ref="E40:F40"/>
    <mergeCell ref="G40:H40"/>
    <mergeCell ref="A2:A24"/>
    <mergeCell ref="B2:M2"/>
    <mergeCell ref="B3:M4"/>
    <mergeCell ref="B5:M5"/>
    <mergeCell ref="B6:D6"/>
    <mergeCell ref="E6:M24"/>
    <mergeCell ref="C16:D16"/>
    <mergeCell ref="B18:D24"/>
    <mergeCell ref="A26:A52"/>
    <mergeCell ref="B26:C27"/>
    <mergeCell ref="D26:I27"/>
    <mergeCell ref="J26:M26"/>
    <mergeCell ref="B28:M28"/>
    <mergeCell ref="B29:C30"/>
    <mergeCell ref="D29:D30"/>
    <mergeCell ref="E29:F30"/>
    <mergeCell ref="G29:H30"/>
    <mergeCell ref="I29:I30"/>
    <mergeCell ref="J29:J30"/>
    <mergeCell ref="K29:K30"/>
    <mergeCell ref="L29:L30"/>
    <mergeCell ref="M29:M30"/>
    <mergeCell ref="B31:B44"/>
    <mergeCell ref="C31:C44"/>
  </mergeCells>
  <printOptions horizontalCentered="1"/>
  <pageMargins left="0" right="0" top="1" bottom="0.5" header="0.5" footer="0.5"/>
  <pageSetup scale="51" fitToHeight="5" orientation="landscape"/>
  <headerFooter alignWithMargins="0">
    <oddHeader xml:space="preserve">&amp;C&amp;"Arial,Bold"&amp;14EVERSOURCE CT ELECTRIC - 2023 PERFORMANCE INCENTIVE
&amp;"Arial,Regular"&amp;11(Some Monetary Values in Thousands of Dollars) &amp;"Arial,Bold"&amp;14
</oddHeader>
    <oddFooter xml:space="preserve">&amp;CTotals may vary due to rounding
</oddFooter>
  </headerFooter>
  <rowBreaks count="4" manualBreakCount="4">
    <brk id="25" min="1" max="12" man="1"/>
    <brk id="52" min="1" max="12" man="1"/>
    <brk id="78" max="16383" man="1"/>
    <brk id="101" min="1" max="12" man="1"/>
  </rowBreaks>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A72C-0850-440C-B5D8-AD89586AC00E}">
  <sheetPr>
    <tabColor indexed="33"/>
  </sheetPr>
  <dimension ref="A2:R141"/>
  <sheetViews>
    <sheetView zoomScaleNormal="100" zoomScalePageLayoutView="80" workbookViewId="0">
      <selection activeCell="N12" sqref="N12"/>
    </sheetView>
  </sheetViews>
  <sheetFormatPr defaultRowHeight="12.75" x14ac:dyDescent="0.2"/>
  <cols>
    <col min="2" max="2" width="27.7109375" customWidth="1"/>
    <col min="3" max="3" width="20.5703125" customWidth="1"/>
    <col min="4" max="4" width="26.5703125" customWidth="1"/>
    <col min="5" max="5" width="20.140625" bestFit="1" customWidth="1"/>
    <col min="6" max="6" width="10.28515625" customWidth="1"/>
    <col min="7" max="7" width="20.140625" bestFit="1" customWidth="1"/>
    <col min="8" max="8" width="8.28515625" customWidth="1"/>
    <col min="9" max="9" width="27.42578125" customWidth="1"/>
    <col min="10" max="10" width="30.7109375" customWidth="1"/>
    <col min="11" max="11" width="26.7109375" customWidth="1"/>
    <col min="12" max="12" width="13" style="583" bestFit="1" customWidth="1"/>
    <col min="13" max="13" width="17.5703125" style="147" customWidth="1"/>
    <col min="16" max="16" width="7.5703125" customWidth="1"/>
    <col min="17" max="17" width="0.5703125" customWidth="1"/>
    <col min="18" max="18" width="11.5703125" bestFit="1" customWidth="1"/>
  </cols>
  <sheetData>
    <row r="2" spans="1:17" ht="22.5" customHeight="1" x14ac:dyDescent="0.35">
      <c r="A2" s="955"/>
      <c r="B2" s="1046" t="s">
        <v>176</v>
      </c>
      <c r="C2" s="1046"/>
      <c r="D2" s="1046"/>
      <c r="E2" s="1046"/>
      <c r="F2" s="1046"/>
      <c r="G2" s="1046"/>
      <c r="H2" s="1046"/>
      <c r="I2" s="1046"/>
      <c r="J2" s="1046"/>
      <c r="K2" s="1046"/>
      <c r="L2" s="1046"/>
      <c r="M2" s="1046"/>
      <c r="N2" s="41"/>
      <c r="O2" s="41"/>
    </row>
    <row r="3" spans="1:17" ht="24" customHeight="1" x14ac:dyDescent="0.2">
      <c r="A3" s="955"/>
      <c r="B3" s="1046" t="s">
        <v>428</v>
      </c>
      <c r="C3" s="1046"/>
      <c r="D3" s="1046"/>
      <c r="E3" s="1046"/>
      <c r="F3" s="1046"/>
      <c r="G3" s="1046"/>
      <c r="H3" s="1046"/>
      <c r="I3" s="1046"/>
      <c r="J3" s="1046"/>
      <c r="K3" s="1046"/>
      <c r="L3" s="1046"/>
      <c r="M3" s="1046"/>
      <c r="N3" s="41"/>
      <c r="O3" s="41"/>
    </row>
    <row r="4" spans="1:17" ht="9.75" customHeight="1" x14ac:dyDescent="0.2">
      <c r="A4" s="955"/>
      <c r="B4" s="1046"/>
      <c r="C4" s="1046"/>
      <c r="D4" s="1046"/>
      <c r="E4" s="1046"/>
      <c r="F4" s="1046"/>
      <c r="G4" s="1046"/>
      <c r="H4" s="1046"/>
      <c r="I4" s="1046"/>
      <c r="J4" s="1046"/>
      <c r="K4" s="1046"/>
      <c r="L4" s="1046"/>
      <c r="M4" s="1046"/>
      <c r="N4" s="41"/>
      <c r="O4" s="41"/>
    </row>
    <row r="5" spans="1:17" s="582" customFormat="1" ht="129.75" customHeight="1" x14ac:dyDescent="0.25">
      <c r="A5" s="955"/>
      <c r="B5" s="1049" t="s">
        <v>429</v>
      </c>
      <c r="C5" s="1049"/>
      <c r="D5" s="1049"/>
      <c r="E5" s="1049"/>
      <c r="F5" s="1049"/>
      <c r="G5" s="1049"/>
      <c r="H5" s="1049"/>
      <c r="I5" s="1049"/>
      <c r="J5" s="1049"/>
      <c r="K5" s="1049"/>
      <c r="L5" s="1049"/>
      <c r="M5" s="1049"/>
      <c r="N5" s="148"/>
      <c r="O5" s="148"/>
      <c r="P5" s="57"/>
      <c r="Q5" s="57"/>
    </row>
    <row r="6" spans="1:17" ht="28.5" customHeight="1" x14ac:dyDescent="0.25">
      <c r="A6" s="955"/>
      <c r="B6" s="1050" t="s">
        <v>89</v>
      </c>
      <c r="C6" s="1050"/>
      <c r="D6" s="1050"/>
      <c r="E6" s="1047"/>
      <c r="F6" s="1047"/>
      <c r="G6" s="1047"/>
      <c r="H6" s="1047"/>
      <c r="I6" s="1047"/>
      <c r="J6" s="1047"/>
      <c r="K6" s="1047"/>
      <c r="L6" s="1047"/>
      <c r="M6" s="1047"/>
      <c r="N6" s="41"/>
      <c r="O6" s="41"/>
    </row>
    <row r="7" spans="1:17" ht="36.75" customHeight="1" x14ac:dyDescent="0.2">
      <c r="A7" s="955"/>
      <c r="B7" s="426" t="s">
        <v>313</v>
      </c>
      <c r="C7" s="426" t="s">
        <v>62</v>
      </c>
      <c r="D7" s="426" t="s">
        <v>63</v>
      </c>
      <c r="E7" s="1047"/>
      <c r="F7" s="1047"/>
      <c r="G7" s="1047"/>
      <c r="H7" s="1047"/>
      <c r="I7" s="1047"/>
      <c r="J7" s="1047"/>
      <c r="K7" s="1047"/>
      <c r="L7" s="1047"/>
      <c r="M7" s="1047"/>
      <c r="N7" s="41"/>
      <c r="O7" s="41"/>
    </row>
    <row r="8" spans="1:17" ht="30" customHeight="1" x14ac:dyDescent="0.2">
      <c r="A8" s="955"/>
      <c r="B8" s="427">
        <v>75</v>
      </c>
      <c r="C8" s="607">
        <v>2.5000000000000001E-2</v>
      </c>
      <c r="D8" s="429">
        <f t="shared" ref="D8:D14" si="0">C8*$C$17</f>
        <v>3358989.5252268547</v>
      </c>
      <c r="E8" s="1047"/>
      <c r="F8" s="1047"/>
      <c r="G8" s="1047"/>
      <c r="H8" s="1047"/>
      <c r="I8" s="1047"/>
      <c r="J8" s="1047"/>
      <c r="K8" s="1047"/>
      <c r="L8" s="1047"/>
      <c r="M8" s="1047"/>
      <c r="N8" s="41"/>
      <c r="O8" s="41"/>
    </row>
    <row r="9" spans="1:17" ht="30" customHeight="1" x14ac:dyDescent="0.2">
      <c r="A9" s="955"/>
      <c r="B9" s="427">
        <v>85</v>
      </c>
      <c r="C9" s="607">
        <v>3.5000000000000003E-2</v>
      </c>
      <c r="D9" s="429">
        <f t="shared" si="0"/>
        <v>4702585.3353175968</v>
      </c>
      <c r="E9" s="1047"/>
      <c r="F9" s="1047"/>
      <c r="G9" s="1047"/>
      <c r="H9" s="1047"/>
      <c r="I9" s="1047"/>
      <c r="J9" s="1047"/>
      <c r="K9" s="1047"/>
      <c r="L9" s="1047"/>
      <c r="M9" s="1047"/>
      <c r="N9" s="41"/>
      <c r="O9" s="149"/>
    </row>
    <row r="10" spans="1:17" ht="30" customHeight="1" x14ac:dyDescent="0.2">
      <c r="A10" s="955"/>
      <c r="B10" s="427">
        <v>95</v>
      </c>
      <c r="C10" s="607">
        <v>4.4999999999999998E-2</v>
      </c>
      <c r="D10" s="429">
        <f t="shared" si="0"/>
        <v>6046181.1454083379</v>
      </c>
      <c r="E10" s="1047"/>
      <c r="F10" s="1047"/>
      <c r="G10" s="1047"/>
      <c r="H10" s="1047"/>
      <c r="I10" s="1047"/>
      <c r="J10" s="1047"/>
      <c r="K10" s="1047"/>
      <c r="L10" s="1047"/>
      <c r="M10" s="1047"/>
      <c r="N10" s="41"/>
      <c r="O10" s="41"/>
    </row>
    <row r="11" spans="1:17" ht="30" customHeight="1" x14ac:dyDescent="0.2">
      <c r="A11" s="955"/>
      <c r="B11" s="430">
        <v>100</v>
      </c>
      <c r="C11" s="431">
        <v>0.05</v>
      </c>
      <c r="D11" s="432">
        <f>C11*$C$17</f>
        <v>6717979.0504537094</v>
      </c>
      <c r="E11" s="1047"/>
      <c r="F11" s="1047"/>
      <c r="G11" s="1047"/>
      <c r="H11" s="1047"/>
      <c r="I11" s="1047"/>
      <c r="J11" s="1047"/>
      <c r="K11" s="1047"/>
      <c r="L11" s="1047"/>
      <c r="M11" s="1047"/>
      <c r="N11" s="41"/>
      <c r="O11" s="41"/>
    </row>
    <row r="12" spans="1:17" ht="30" customHeight="1" x14ac:dyDescent="0.2">
      <c r="A12" s="955"/>
      <c r="B12" s="427">
        <v>105</v>
      </c>
      <c r="C12" s="607">
        <v>5.5E-2</v>
      </c>
      <c r="D12" s="429">
        <f t="shared" si="0"/>
        <v>7389776.95549908</v>
      </c>
      <c r="E12" s="1047"/>
      <c r="F12" s="1047"/>
      <c r="G12" s="1047"/>
      <c r="H12" s="1047"/>
      <c r="I12" s="1047"/>
      <c r="J12" s="1047"/>
      <c r="K12" s="1047"/>
      <c r="L12" s="1047"/>
      <c r="M12" s="1047"/>
      <c r="N12" s="41"/>
      <c r="O12" s="41"/>
    </row>
    <row r="13" spans="1:17" ht="29.25" customHeight="1" x14ac:dyDescent="0.2">
      <c r="A13" s="955"/>
      <c r="B13" s="427">
        <v>115</v>
      </c>
      <c r="C13" s="607">
        <v>6.5000000000000002E-2</v>
      </c>
      <c r="D13" s="429">
        <f t="shared" si="0"/>
        <v>8733372.7655898221</v>
      </c>
      <c r="E13" s="1047"/>
      <c r="F13" s="1047"/>
      <c r="G13" s="1047"/>
      <c r="H13" s="1047"/>
      <c r="I13" s="1047"/>
      <c r="J13" s="1047"/>
      <c r="K13" s="1047"/>
      <c r="L13" s="1047"/>
      <c r="M13" s="1047"/>
      <c r="N13" s="41"/>
      <c r="O13" s="41"/>
    </row>
    <row r="14" spans="1:17" ht="30" customHeight="1" x14ac:dyDescent="0.2">
      <c r="A14" s="955"/>
      <c r="B14" s="427">
        <v>125</v>
      </c>
      <c r="C14" s="607">
        <v>7.4999999999999997E-2</v>
      </c>
      <c r="D14" s="429">
        <f t="shared" si="0"/>
        <v>10076968.575680563</v>
      </c>
      <c r="E14" s="1047"/>
      <c r="F14" s="1047"/>
      <c r="G14" s="1047"/>
      <c r="H14" s="1047"/>
      <c r="I14" s="1047"/>
      <c r="J14" s="1047"/>
      <c r="K14" s="1047"/>
      <c r="L14" s="1047"/>
      <c r="M14" s="1047"/>
      <c r="N14" s="41"/>
      <c r="O14" s="41"/>
    </row>
    <row r="15" spans="1:17" ht="30" customHeight="1" x14ac:dyDescent="0.2">
      <c r="A15" s="955"/>
      <c r="B15" s="608"/>
      <c r="C15" s="428"/>
      <c r="D15" s="429"/>
      <c r="E15" s="1047"/>
      <c r="F15" s="1047"/>
      <c r="G15" s="1047"/>
      <c r="H15" s="1047"/>
      <c r="I15" s="1047"/>
      <c r="J15" s="1047"/>
      <c r="K15" s="1047"/>
      <c r="L15" s="1047"/>
      <c r="M15" s="1047"/>
      <c r="N15" s="41"/>
      <c r="O15" s="41"/>
    </row>
    <row r="16" spans="1:17" ht="25.5" customHeight="1" x14ac:dyDescent="0.2">
      <c r="A16" s="955"/>
      <c r="B16" s="603" t="s">
        <v>88</v>
      </c>
      <c r="C16" s="1086" t="s">
        <v>13</v>
      </c>
      <c r="D16" s="918"/>
      <c r="E16" s="1047"/>
      <c r="F16" s="1047"/>
      <c r="G16" s="1047"/>
      <c r="H16" s="1047"/>
      <c r="I16" s="1047"/>
      <c r="J16" s="1047"/>
      <c r="K16" s="1047"/>
      <c r="L16" s="1047"/>
      <c r="M16" s="1047"/>
      <c r="N16" s="41"/>
      <c r="O16" s="41"/>
    </row>
    <row r="17" spans="1:15" s="58" customFormat="1" ht="36" customHeight="1" x14ac:dyDescent="0.25">
      <c r="A17" s="955"/>
      <c r="B17" s="436" t="s">
        <v>2</v>
      </c>
      <c r="C17" s="437">
        <f>'ES CT Electric Table A  '!P54-'ES CT Electric Table A  '!P47-'ES CT Electric Table A  '!P46-'ES CT Electric Table A  '!P45-'ES CT Electric Table A  '!P43</f>
        <v>134359581.00907418</v>
      </c>
      <c r="D17" s="433"/>
      <c r="E17" s="1047"/>
      <c r="F17" s="1047"/>
      <c r="G17" s="1047"/>
      <c r="H17" s="1047"/>
      <c r="I17" s="1047"/>
      <c r="J17" s="1047"/>
      <c r="K17" s="1047"/>
      <c r="L17" s="1047"/>
      <c r="M17" s="1047"/>
    </row>
    <row r="18" spans="1:15" ht="19.5" customHeight="1" x14ac:dyDescent="0.2">
      <c r="A18" s="955"/>
      <c r="B18" s="1048" t="s">
        <v>319</v>
      </c>
      <c r="C18" s="1048"/>
      <c r="D18" s="1048"/>
      <c r="E18" s="1047"/>
      <c r="F18" s="1047"/>
      <c r="G18" s="1047"/>
      <c r="H18" s="1047"/>
      <c r="I18" s="1047"/>
      <c r="J18" s="1047"/>
      <c r="K18" s="1047"/>
      <c r="L18" s="1047"/>
      <c r="M18" s="1047"/>
      <c r="N18" s="41"/>
      <c r="O18" s="41"/>
    </row>
    <row r="19" spans="1:15" ht="19.5" customHeight="1" x14ac:dyDescent="0.2">
      <c r="A19" s="955"/>
      <c r="B19" s="1048"/>
      <c r="C19" s="1048"/>
      <c r="D19" s="1048"/>
      <c r="E19" s="1047"/>
      <c r="F19" s="1047"/>
      <c r="G19" s="1047"/>
      <c r="H19" s="1047"/>
      <c r="I19" s="1047"/>
      <c r="J19" s="1047"/>
      <c r="K19" s="1047"/>
      <c r="L19" s="1047"/>
      <c r="M19" s="1047"/>
      <c r="N19" s="41"/>
      <c r="O19" s="41"/>
    </row>
    <row r="20" spans="1:15" ht="19.5" customHeight="1" x14ac:dyDescent="0.2">
      <c r="A20" s="955"/>
      <c r="B20" s="1048"/>
      <c r="C20" s="1048"/>
      <c r="D20" s="1048"/>
      <c r="E20" s="1047"/>
      <c r="F20" s="1047"/>
      <c r="G20" s="1047"/>
      <c r="H20" s="1047"/>
      <c r="I20" s="1047"/>
      <c r="J20" s="1047"/>
      <c r="K20" s="1047"/>
      <c r="L20" s="1047"/>
      <c r="M20" s="1047"/>
      <c r="N20" s="41"/>
      <c r="O20" s="41"/>
    </row>
    <row r="21" spans="1:15" ht="7.5" customHeight="1" x14ac:dyDescent="0.2">
      <c r="A21" s="955"/>
      <c r="B21" s="1048"/>
      <c r="C21" s="1048"/>
      <c r="D21" s="1048"/>
      <c r="E21" s="1047"/>
      <c r="F21" s="1047"/>
      <c r="G21" s="1047"/>
      <c r="H21" s="1047"/>
      <c r="I21" s="1047"/>
      <c r="J21" s="1047"/>
      <c r="K21" s="1047"/>
      <c r="L21" s="1047"/>
      <c r="M21" s="1047"/>
      <c r="N21" s="41"/>
      <c r="O21" s="41"/>
    </row>
    <row r="22" spans="1:15" ht="12" hidden="1" customHeight="1" x14ac:dyDescent="0.2">
      <c r="A22" s="955"/>
      <c r="B22" s="1048"/>
      <c r="C22" s="1048"/>
      <c r="D22" s="1048"/>
      <c r="E22" s="1047"/>
      <c r="F22" s="1047"/>
      <c r="G22" s="1047"/>
      <c r="H22" s="1047"/>
      <c r="I22" s="1047"/>
      <c r="J22" s="1047"/>
      <c r="K22" s="1047"/>
      <c r="L22" s="1047"/>
      <c r="M22" s="1047"/>
      <c r="N22" s="41"/>
      <c r="O22" s="41"/>
    </row>
    <row r="23" spans="1:15" ht="43.5" hidden="1" customHeight="1" x14ac:dyDescent="0.2">
      <c r="A23" s="955"/>
      <c r="B23" s="1048"/>
      <c r="C23" s="1048"/>
      <c r="D23" s="1048"/>
      <c r="E23" s="1047"/>
      <c r="F23" s="1047"/>
      <c r="G23" s="1047"/>
      <c r="H23" s="1047"/>
      <c r="I23" s="1047"/>
      <c r="J23" s="1047"/>
      <c r="K23" s="1047"/>
      <c r="L23" s="1047"/>
      <c r="M23" s="1047"/>
      <c r="N23" s="41"/>
      <c r="O23" s="41"/>
    </row>
    <row r="24" spans="1:15" ht="18.75" hidden="1" customHeight="1" x14ac:dyDescent="0.2">
      <c r="A24" s="955"/>
      <c r="B24" s="1048"/>
      <c r="C24" s="1048"/>
      <c r="D24" s="1048"/>
      <c r="E24" s="1047"/>
      <c r="F24" s="1047"/>
      <c r="G24" s="1047"/>
      <c r="H24" s="1047"/>
      <c r="I24" s="1047"/>
      <c r="J24" s="1047"/>
      <c r="K24" s="1047"/>
      <c r="L24" s="1047"/>
      <c r="M24" s="1047"/>
      <c r="N24" s="41"/>
      <c r="O24" s="41"/>
    </row>
    <row r="25" spans="1:15" ht="21" customHeight="1" thickBot="1" x14ac:dyDescent="0.25">
      <c r="B25" s="41"/>
      <c r="C25" s="41"/>
      <c r="D25" s="41"/>
      <c r="E25" s="41"/>
      <c r="F25" s="41"/>
      <c r="G25" s="41"/>
      <c r="H25" s="41"/>
      <c r="I25" s="41"/>
      <c r="J25" s="41"/>
      <c r="K25" s="41"/>
      <c r="L25" s="593"/>
      <c r="N25" s="41"/>
      <c r="O25" s="41"/>
    </row>
    <row r="26" spans="1:15" ht="19.5" customHeight="1" thickBot="1" x14ac:dyDescent="0.25">
      <c r="A26" s="955"/>
      <c r="B26" s="1052" t="s">
        <v>64</v>
      </c>
      <c r="C26" s="1052"/>
      <c r="D26" s="1051" t="s">
        <v>65</v>
      </c>
      <c r="E26" s="1051"/>
      <c r="F26" s="1051"/>
      <c r="G26" s="1051"/>
      <c r="H26" s="1051"/>
      <c r="I26" s="1051"/>
      <c r="J26" s="1052" t="s">
        <v>66</v>
      </c>
      <c r="K26" s="1052"/>
      <c r="L26" s="1052"/>
      <c r="M26" s="1052"/>
      <c r="N26" s="41"/>
      <c r="O26" s="41"/>
    </row>
    <row r="27" spans="1:15" ht="31.5" customHeight="1" thickBot="1" x14ac:dyDescent="0.25">
      <c r="A27" s="955"/>
      <c r="B27" s="1052"/>
      <c r="C27" s="1052"/>
      <c r="D27" s="1051"/>
      <c r="E27" s="1051"/>
      <c r="F27" s="1051"/>
      <c r="G27" s="1051"/>
      <c r="H27" s="1051"/>
      <c r="I27" s="1051"/>
      <c r="J27" s="604" t="s">
        <v>67</v>
      </c>
      <c r="K27" s="604" t="s">
        <v>68</v>
      </c>
      <c r="L27" s="604" t="s">
        <v>69</v>
      </c>
      <c r="M27" s="461" t="s">
        <v>70</v>
      </c>
      <c r="N27" s="41"/>
      <c r="O27" s="41"/>
    </row>
    <row r="28" spans="1:15" ht="19.5" customHeight="1" thickBot="1" x14ac:dyDescent="0.25">
      <c r="A28" s="955"/>
      <c r="B28" s="1059"/>
      <c r="C28" s="1059"/>
      <c r="D28" s="1059"/>
      <c r="E28" s="1059"/>
      <c r="F28" s="1059"/>
      <c r="G28" s="1059"/>
      <c r="H28" s="1059"/>
      <c r="I28" s="1059"/>
      <c r="J28" s="1059"/>
      <c r="K28" s="1059"/>
      <c r="L28" s="1059"/>
      <c r="M28" s="1059"/>
      <c r="N28" s="41"/>
      <c r="O28" s="41"/>
    </row>
    <row r="29" spans="1:15" ht="17.25" customHeight="1" x14ac:dyDescent="0.2">
      <c r="A29" s="955"/>
      <c r="B29" s="1060" t="s">
        <v>15</v>
      </c>
      <c r="C29" s="1060"/>
      <c r="D29" s="1034" t="s">
        <v>71</v>
      </c>
      <c r="E29" s="1034" t="s">
        <v>72</v>
      </c>
      <c r="F29" s="1034"/>
      <c r="G29" s="1034" t="s">
        <v>73</v>
      </c>
      <c r="H29" s="1034"/>
      <c r="I29" s="1036" t="s">
        <v>74</v>
      </c>
      <c r="J29" s="1039"/>
      <c r="K29" s="1039"/>
      <c r="L29" s="1039"/>
      <c r="M29" s="1041"/>
      <c r="N29" s="41"/>
      <c r="O29" s="41"/>
    </row>
    <row r="30" spans="1:15" ht="18.75" customHeight="1" thickBot="1" x14ac:dyDescent="0.25">
      <c r="A30" s="955"/>
      <c r="B30" s="1061"/>
      <c r="C30" s="1061"/>
      <c r="D30" s="1035"/>
      <c r="E30" s="1035"/>
      <c r="F30" s="1035"/>
      <c r="G30" s="1035"/>
      <c r="H30" s="1035"/>
      <c r="I30" s="1037"/>
      <c r="J30" s="1040"/>
      <c r="K30" s="1040"/>
      <c r="L30" s="1040"/>
      <c r="M30" s="1042"/>
      <c r="N30" s="41"/>
      <c r="O30" s="41"/>
    </row>
    <row r="31" spans="1:15" ht="19.5" customHeight="1" thickBot="1" x14ac:dyDescent="0.25">
      <c r="A31" s="955"/>
      <c r="B31" s="973" t="s">
        <v>314</v>
      </c>
      <c r="C31" s="970">
        <f>'ES CT Electric Table A  '!P16/1000</f>
        <v>55901.970700000005</v>
      </c>
      <c r="D31" s="1045"/>
      <c r="E31" s="1045"/>
      <c r="F31" s="1045"/>
      <c r="G31" s="1045"/>
      <c r="H31" s="1045"/>
      <c r="I31" s="1045"/>
      <c r="J31" s="1072" t="s">
        <v>93</v>
      </c>
      <c r="K31" s="1053" t="s">
        <v>90</v>
      </c>
      <c r="L31" s="1071">
        <f>0.1625-0.03375-0.01625+0.005+0.005+0.0575-0.015+0.03-0.0025</f>
        <v>0.19250000000000003</v>
      </c>
      <c r="M31" s="1043">
        <f>$D$11*L31</f>
        <v>1293210.9672123394</v>
      </c>
      <c r="N31" s="41"/>
      <c r="O31" s="41"/>
    </row>
    <row r="32" spans="1:15" ht="3.75" customHeight="1" thickBot="1" x14ac:dyDescent="0.25">
      <c r="A32" s="955"/>
      <c r="B32" s="973"/>
      <c r="C32" s="970"/>
      <c r="D32" s="1045"/>
      <c r="E32" s="1045"/>
      <c r="F32" s="1045"/>
      <c r="G32" s="1045"/>
      <c r="H32" s="1045"/>
      <c r="I32" s="1045"/>
      <c r="J32" s="1072"/>
      <c r="K32" s="1054"/>
      <c r="L32" s="1071"/>
      <c r="M32" s="1043"/>
      <c r="N32" s="41"/>
      <c r="O32" s="41"/>
    </row>
    <row r="33" spans="1:15" ht="18.75" customHeight="1" thickBot="1" x14ac:dyDescent="0.3">
      <c r="A33" s="955"/>
      <c r="B33" s="973"/>
      <c r="C33" s="970"/>
      <c r="D33" s="441" t="s">
        <v>96</v>
      </c>
      <c r="E33" s="997">
        <f>'2014-24 ESCTETable D3-lftimekWh'!P8*1000</f>
        <v>54206241.104304075</v>
      </c>
      <c r="F33" s="997"/>
      <c r="G33" s="1038">
        <f>'2014-24 ES CT E Table D1-kW'!P8</f>
        <v>651.66487629281016</v>
      </c>
      <c r="H33" s="1038"/>
      <c r="I33" s="439">
        <f t="shared" ref="I33:I38" si="1">(E33*E$42+G33*G$42)/K$35</f>
        <v>0.31619564507596304</v>
      </c>
      <c r="J33" s="1072"/>
      <c r="K33" s="1054"/>
      <c r="L33" s="1071"/>
      <c r="M33" s="1043"/>
      <c r="N33" s="41"/>
      <c r="O33" s="41"/>
    </row>
    <row r="34" spans="1:15" ht="37.5" customHeight="1" thickBot="1" x14ac:dyDescent="0.3">
      <c r="A34" s="955"/>
      <c r="B34" s="973"/>
      <c r="C34" s="970"/>
      <c r="D34" s="441" t="s">
        <v>75</v>
      </c>
      <c r="E34" s="997">
        <f>'2014-24 ESCTETable D3-lftimekWh'!P9*1000</f>
        <v>51704087.011714973</v>
      </c>
      <c r="F34" s="997"/>
      <c r="G34" s="1038">
        <f>'2014-24 ES CT E Table D1-kW'!P9</f>
        <v>304.73811841967159</v>
      </c>
      <c r="H34" s="1038"/>
      <c r="I34" s="439">
        <f t="shared" si="1"/>
        <v>0.26575624564709333</v>
      </c>
      <c r="J34" s="1072"/>
      <c r="K34" s="1055"/>
      <c r="L34" s="1071"/>
      <c r="M34" s="1043"/>
      <c r="N34" s="41"/>
      <c r="O34" s="41"/>
    </row>
    <row r="35" spans="1:15" ht="34.5" customHeight="1" thickBot="1" x14ac:dyDescent="0.3">
      <c r="A35" s="955"/>
      <c r="B35" s="973"/>
      <c r="C35" s="970"/>
      <c r="D35" s="441" t="s">
        <v>109</v>
      </c>
      <c r="E35" s="997">
        <f>'2014-24 ESCTETable D3-lftimekWh'!P10*1000</f>
        <v>56113249.201680534</v>
      </c>
      <c r="F35" s="997"/>
      <c r="G35" s="1038">
        <f>'2014-24 ES CT E Table D1-kW'!P10</f>
        <v>1263.294449006577</v>
      </c>
      <c r="H35" s="1038"/>
      <c r="I35" s="439">
        <f t="shared" si="1"/>
        <v>0.39391788656851273</v>
      </c>
      <c r="J35" s="1072"/>
      <c r="K35" s="1056">
        <f>E43+G43</f>
        <v>26504618.063220974</v>
      </c>
      <c r="L35" s="1071"/>
      <c r="M35" s="1043"/>
      <c r="N35" s="41"/>
      <c r="O35" s="41"/>
    </row>
    <row r="36" spans="1:15" ht="42" customHeight="1" thickBot="1" x14ac:dyDescent="0.3">
      <c r="A36" s="955"/>
      <c r="B36" s="973"/>
      <c r="C36" s="970"/>
      <c r="D36" s="441" t="s">
        <v>271</v>
      </c>
      <c r="E36" s="997">
        <f>'2014-24 ESCTETable D3-lftimekWh'!P11*1000</f>
        <v>-48525122.280474119</v>
      </c>
      <c r="F36" s="997"/>
      <c r="G36" s="1038">
        <f>'2014-24 ES CT E Table D1-kW'!P11</f>
        <v>614.2059862611552</v>
      </c>
      <c r="H36" s="1038"/>
      <c r="I36" s="439">
        <f t="shared" si="1"/>
        <v>-0.14757872319868995</v>
      </c>
      <c r="J36" s="1072"/>
      <c r="K36" s="1057"/>
      <c r="L36" s="1071"/>
      <c r="M36" s="1043"/>
      <c r="N36" s="41"/>
      <c r="O36" s="41"/>
    </row>
    <row r="37" spans="1:15" ht="41.25" customHeight="1" thickBot="1" x14ac:dyDescent="0.3">
      <c r="A37" s="955"/>
      <c r="B37" s="973"/>
      <c r="C37" s="970"/>
      <c r="D37" s="441" t="s">
        <v>320</v>
      </c>
      <c r="E37" s="997">
        <f>'2014-24 ESCTETable D3-lftimekWh'!P12*1000</f>
        <v>28405784.203310303</v>
      </c>
      <c r="F37" s="997"/>
      <c r="G37" s="1038">
        <f>'2014-24 ES CT E Table D1-kW'!P12</f>
        <v>256.28787956783577</v>
      </c>
      <c r="H37" s="1038"/>
      <c r="I37" s="439">
        <f t="shared" si="1"/>
        <v>0.15605751352126865</v>
      </c>
      <c r="J37" s="1072"/>
      <c r="K37" s="1057"/>
      <c r="L37" s="1071"/>
      <c r="M37" s="1043"/>
      <c r="N37" s="41"/>
      <c r="O37" s="41"/>
    </row>
    <row r="38" spans="1:15" ht="24.75" customHeight="1" thickBot="1" x14ac:dyDescent="0.3">
      <c r="A38" s="955"/>
      <c r="B38" s="973"/>
      <c r="C38" s="970"/>
      <c r="D38" s="441" t="s">
        <v>218</v>
      </c>
      <c r="E38" s="997">
        <f>'2014-24 ESCTETable D3-lftimekWh'!P13*1000</f>
        <v>1430000</v>
      </c>
      <c r="F38" s="997"/>
      <c r="G38" s="1038">
        <f>'2014-24 ES CT E Table D1-kW'!P13</f>
        <v>81.621004566210047</v>
      </c>
      <c r="H38" s="1038"/>
      <c r="I38" s="439">
        <f t="shared" si="1"/>
        <v>1.5630201115680593E-2</v>
      </c>
      <c r="J38" s="1072"/>
      <c r="K38" s="1057"/>
      <c r="L38" s="1071"/>
      <c r="M38" s="1043"/>
      <c r="N38" s="41"/>
      <c r="O38" s="41"/>
    </row>
    <row r="39" spans="1:15" ht="18.75" customHeight="1" thickBot="1" x14ac:dyDescent="0.25">
      <c r="A39" s="955"/>
      <c r="B39" s="973"/>
      <c r="C39" s="970"/>
      <c r="D39" s="973"/>
      <c r="E39" s="973"/>
      <c r="F39" s="973"/>
      <c r="G39" s="973"/>
      <c r="H39" s="973"/>
      <c r="I39" s="973"/>
      <c r="J39" s="1072"/>
      <c r="K39" s="1057"/>
      <c r="L39" s="1071"/>
      <c r="M39" s="1043"/>
      <c r="N39" s="41"/>
      <c r="O39" s="41"/>
    </row>
    <row r="40" spans="1:15" ht="18.75" customHeight="1" thickBot="1" x14ac:dyDescent="0.3">
      <c r="A40" s="955"/>
      <c r="B40" s="973"/>
      <c r="C40" s="970"/>
      <c r="D40" s="441" t="s">
        <v>76</v>
      </c>
      <c r="E40" s="998">
        <f>ROUND(SUM(E33:E38),0)</f>
        <v>143334239</v>
      </c>
      <c r="F40" s="998"/>
      <c r="G40" s="998">
        <f>ROUND(SUM(G33:G38),0)</f>
        <v>3172</v>
      </c>
      <c r="H40" s="998"/>
      <c r="I40" s="466"/>
      <c r="J40" s="1072"/>
      <c r="K40" s="1057"/>
      <c r="L40" s="1071"/>
      <c r="M40" s="1043"/>
      <c r="N40" s="41"/>
      <c r="O40" s="41"/>
    </row>
    <row r="41" spans="1:15" ht="18.75" customHeight="1" thickBot="1" x14ac:dyDescent="0.25">
      <c r="A41" s="955"/>
      <c r="B41" s="973"/>
      <c r="C41" s="970"/>
      <c r="D41" s="973"/>
      <c r="E41" s="973"/>
      <c r="F41" s="973"/>
      <c r="G41" s="973"/>
      <c r="H41" s="973"/>
      <c r="I41" s="973"/>
      <c r="J41" s="1072"/>
      <c r="K41" s="1057"/>
      <c r="L41" s="1071"/>
      <c r="M41" s="1043"/>
      <c r="N41" s="41"/>
      <c r="O41" s="41"/>
    </row>
    <row r="42" spans="1:15" ht="18.75" thickBot="1" x14ac:dyDescent="0.25">
      <c r="A42" s="955"/>
      <c r="B42" s="973"/>
      <c r="C42" s="970"/>
      <c r="D42" s="441" t="s">
        <v>77</v>
      </c>
      <c r="E42" s="521">
        <f>E43/E40</f>
        <v>0.11856015327316075</v>
      </c>
      <c r="F42" s="522" t="s">
        <v>4</v>
      </c>
      <c r="G42" s="519">
        <f>G43/G40</f>
        <v>2998.3886248704662</v>
      </c>
      <c r="H42" s="520" t="s">
        <v>5</v>
      </c>
      <c r="I42" s="1045"/>
      <c r="J42" s="1072"/>
      <c r="K42" s="1057"/>
      <c r="L42" s="1071"/>
      <c r="M42" s="1043"/>
      <c r="N42" s="41"/>
      <c r="O42" s="41"/>
    </row>
    <row r="43" spans="1:15" ht="21" customHeight="1" thickBot="1" x14ac:dyDescent="0.25">
      <c r="A43" s="955"/>
      <c r="B43" s="973"/>
      <c r="C43" s="970"/>
      <c r="D43" s="440" t="s">
        <v>216</v>
      </c>
      <c r="E43" s="1066">
        <f>'[18]Eversource Elect_Table_B'!$BQ$67</f>
        <v>16993729.345131855</v>
      </c>
      <c r="F43" s="1066"/>
      <c r="G43" s="1066">
        <f>'[18]Eversource Elect_Table_B'!$BY$67</f>
        <v>9510888.7180891186</v>
      </c>
      <c r="H43" s="1066"/>
      <c r="I43" s="1045"/>
      <c r="J43" s="1072"/>
      <c r="K43" s="1057"/>
      <c r="L43" s="1071"/>
      <c r="M43" s="1043"/>
      <c r="N43" s="41"/>
      <c r="O43" s="41"/>
    </row>
    <row r="44" spans="1:15" ht="22.5" customHeight="1" thickBot="1" x14ac:dyDescent="0.25">
      <c r="A44" s="955"/>
      <c r="B44" s="973"/>
      <c r="C44" s="970"/>
      <c r="D44" s="1065" t="s">
        <v>81</v>
      </c>
      <c r="E44" s="1065"/>
      <c r="F44" s="1065"/>
      <c r="G44" s="1065"/>
      <c r="H44" s="1065"/>
      <c r="I44" s="1065"/>
      <c r="J44" s="1072"/>
      <c r="K44" s="1058"/>
      <c r="L44" s="1071"/>
      <c r="M44" s="1043"/>
      <c r="N44" s="41"/>
      <c r="O44" s="41"/>
    </row>
    <row r="45" spans="1:15" ht="45" customHeight="1" thickBot="1" x14ac:dyDescent="0.25">
      <c r="A45" s="955"/>
      <c r="B45" s="591" t="s">
        <v>84</v>
      </c>
      <c r="C45" s="442"/>
      <c r="D45" s="1069" t="s">
        <v>83</v>
      </c>
      <c r="E45" s="1070"/>
      <c r="F45" s="1070"/>
      <c r="G45" s="1070"/>
      <c r="H45" s="1063">
        <f>K35-C31*1000</f>
        <v>-29397352.636779029</v>
      </c>
      <c r="I45" s="1064"/>
      <c r="J45" s="594"/>
      <c r="K45" s="592">
        <f>H45</f>
        <v>-29397352.636779029</v>
      </c>
      <c r="L45" s="445">
        <f>0.1625-0.03375-0.01625+0.005+0.005+0.0575-0.015+0.03-0.0025</f>
        <v>0.19250000000000003</v>
      </c>
      <c r="M45" s="592">
        <f>$D$11*L45</f>
        <v>1293210.9672123394</v>
      </c>
      <c r="N45" s="41"/>
      <c r="O45" s="41"/>
    </row>
    <row r="46" spans="1:15" ht="44.25" customHeight="1" thickBot="1" x14ac:dyDescent="0.3">
      <c r="A46" s="955"/>
      <c r="B46" s="1073" t="s">
        <v>109</v>
      </c>
      <c r="C46" s="979">
        <f>'ES CT Electric Table A  '!P12/1000</f>
        <v>20630.5317</v>
      </c>
      <c r="D46" s="1045" t="s">
        <v>3</v>
      </c>
      <c r="E46" s="1045"/>
      <c r="F46" s="1045"/>
      <c r="G46" s="1062">
        <f>E35</f>
        <v>56113249.201680534</v>
      </c>
      <c r="H46" s="1062"/>
      <c r="I46" s="1080"/>
      <c r="J46" s="1081" t="s">
        <v>324</v>
      </c>
      <c r="K46" s="970"/>
      <c r="L46" s="1082"/>
      <c r="M46" s="970"/>
      <c r="N46" s="41"/>
      <c r="O46" s="41"/>
    </row>
    <row r="47" spans="1:15" ht="36.75" customHeight="1" thickBot="1" x14ac:dyDescent="0.3">
      <c r="A47" s="955"/>
      <c r="B47" s="1074"/>
      <c r="C47" s="980"/>
      <c r="D47" s="1045" t="s">
        <v>85</v>
      </c>
      <c r="E47" s="1045"/>
      <c r="F47" s="1045"/>
      <c r="G47" s="1062">
        <f>G35</f>
        <v>1263.294449006577</v>
      </c>
      <c r="H47" s="1062"/>
      <c r="I47" s="1080"/>
      <c r="J47" s="1081"/>
      <c r="K47" s="970"/>
      <c r="L47" s="1082"/>
      <c r="M47" s="970"/>
      <c r="N47" s="41"/>
      <c r="O47" s="41"/>
    </row>
    <row r="48" spans="1:15" ht="18.75" customHeight="1" thickBot="1" x14ac:dyDescent="0.25">
      <c r="A48" s="955"/>
      <c r="B48" s="1074"/>
      <c r="C48" s="980"/>
      <c r="D48" s="969" t="s">
        <v>444</v>
      </c>
      <c r="E48" s="969"/>
      <c r="F48" s="969"/>
      <c r="G48" s="969"/>
      <c r="H48" s="969"/>
      <c r="I48" s="969"/>
      <c r="J48" s="969" t="s">
        <v>447</v>
      </c>
      <c r="K48" s="1083" t="s">
        <v>448</v>
      </c>
      <c r="L48" s="1079">
        <v>0.01</v>
      </c>
      <c r="M48" s="1044">
        <f>$D$11*L48</f>
        <v>67179.790504537101</v>
      </c>
      <c r="N48" s="41"/>
      <c r="O48" s="41"/>
    </row>
    <row r="49" spans="1:15" ht="19.5" customHeight="1" thickBot="1" x14ac:dyDescent="0.25">
      <c r="A49" s="955"/>
      <c r="B49" s="1074"/>
      <c r="C49" s="980"/>
      <c r="D49" s="969"/>
      <c r="E49" s="969"/>
      <c r="F49" s="969"/>
      <c r="G49" s="969"/>
      <c r="H49" s="969"/>
      <c r="I49" s="969"/>
      <c r="J49" s="969"/>
      <c r="K49" s="1083"/>
      <c r="L49" s="1079"/>
      <c r="M49" s="1044"/>
      <c r="N49" s="41"/>
      <c r="O49" s="41"/>
    </row>
    <row r="50" spans="1:15" s="155" customFormat="1" ht="74.25" customHeight="1" thickBot="1" x14ac:dyDescent="0.25">
      <c r="A50" s="955"/>
      <c r="B50" s="1074"/>
      <c r="C50" s="980"/>
      <c r="D50" s="969"/>
      <c r="E50" s="969"/>
      <c r="F50" s="969"/>
      <c r="G50" s="969"/>
      <c r="H50" s="969"/>
      <c r="I50" s="969"/>
      <c r="J50" s="969"/>
      <c r="K50" s="1083"/>
      <c r="L50" s="1079"/>
      <c r="M50" s="1044"/>
      <c r="N50" s="153"/>
      <c r="O50" s="154"/>
    </row>
    <row r="51" spans="1:15" s="155" customFormat="1" ht="117" customHeight="1" thickBot="1" x14ac:dyDescent="0.25">
      <c r="A51" s="955"/>
      <c r="B51" s="1074"/>
      <c r="C51" s="980"/>
      <c r="D51" s="1001" t="s">
        <v>445</v>
      </c>
      <c r="E51" s="1142"/>
      <c r="F51" s="1142"/>
      <c r="G51" s="1142"/>
      <c r="H51" s="1142"/>
      <c r="I51" s="1143"/>
      <c r="J51" s="632" t="s">
        <v>449</v>
      </c>
      <c r="K51" s="636" t="s">
        <v>450</v>
      </c>
      <c r="L51" s="635">
        <v>0.01</v>
      </c>
      <c r="M51" s="634">
        <f>$D$11*L48</f>
        <v>67179.790504537101</v>
      </c>
      <c r="N51" s="153"/>
      <c r="O51" s="154"/>
    </row>
    <row r="52" spans="1:15" ht="94.5" customHeight="1" thickBot="1" x14ac:dyDescent="0.25">
      <c r="A52" s="955"/>
      <c r="B52" s="1075"/>
      <c r="C52" s="981"/>
      <c r="D52" s="969" t="s">
        <v>446</v>
      </c>
      <c r="E52" s="969"/>
      <c r="F52" s="969"/>
      <c r="G52" s="969"/>
      <c r="H52" s="969"/>
      <c r="I52" s="969"/>
      <c r="J52" s="632" t="s">
        <v>331</v>
      </c>
      <c r="K52" s="636" t="s">
        <v>451</v>
      </c>
      <c r="L52" s="595">
        <v>0.01</v>
      </c>
      <c r="M52" s="588">
        <f>$D$11*L52</f>
        <v>67179.790504537101</v>
      </c>
      <c r="N52" s="93"/>
      <c r="O52" s="41"/>
    </row>
    <row r="53" spans="1:15" ht="55.5" customHeight="1" thickBot="1" x14ac:dyDescent="0.3">
      <c r="A53" s="1000"/>
      <c r="B53" s="973" t="s">
        <v>111</v>
      </c>
      <c r="C53" s="970">
        <f>'ES CT Electric Table A  '!P11/1000</f>
        <v>3398.7860000000001</v>
      </c>
      <c r="D53" s="971" t="s">
        <v>3</v>
      </c>
      <c r="E53" s="971"/>
      <c r="F53" s="971"/>
      <c r="G53" s="972">
        <f>E34</f>
        <v>51704087.011714973</v>
      </c>
      <c r="H53" s="972"/>
      <c r="I53" s="971"/>
      <c r="J53" s="1032" t="s">
        <v>315</v>
      </c>
      <c r="K53" s="1068"/>
      <c r="L53" s="1068" t="s">
        <v>13</v>
      </c>
      <c r="M53" s="1044" t="s">
        <v>13</v>
      </c>
      <c r="N53" s="41"/>
      <c r="O53" s="41"/>
    </row>
    <row r="54" spans="1:15" ht="25.5" customHeight="1" thickBot="1" x14ac:dyDescent="0.3">
      <c r="A54" s="1000"/>
      <c r="B54" s="1045"/>
      <c r="C54" s="970"/>
      <c r="D54" s="971" t="s">
        <v>85</v>
      </c>
      <c r="E54" s="971"/>
      <c r="F54" s="971"/>
      <c r="G54" s="972">
        <f>G34</f>
        <v>304.73811841967159</v>
      </c>
      <c r="H54" s="972"/>
      <c r="I54" s="971"/>
      <c r="J54" s="1032"/>
      <c r="K54" s="1068"/>
      <c r="L54" s="1068"/>
      <c r="M54" s="1044"/>
    </row>
    <row r="55" spans="1:15" ht="18.75" customHeight="1" thickBot="1" x14ac:dyDescent="0.25">
      <c r="A55" s="1000"/>
      <c r="B55" s="1045"/>
      <c r="C55" s="970"/>
      <c r="D55" s="969" t="s">
        <v>452</v>
      </c>
      <c r="E55" s="969"/>
      <c r="F55" s="969"/>
      <c r="G55" s="969"/>
      <c r="H55" s="969"/>
      <c r="I55" s="969"/>
      <c r="J55" s="969" t="s">
        <v>272</v>
      </c>
      <c r="K55" s="1067" t="s">
        <v>453</v>
      </c>
      <c r="L55" s="1006">
        <v>0.01</v>
      </c>
      <c r="M55" s="1044">
        <f>$D$11*L55</f>
        <v>67179.790504537101</v>
      </c>
    </row>
    <row r="56" spans="1:15" ht="18.75" customHeight="1" thickBot="1" x14ac:dyDescent="0.25">
      <c r="A56" s="1000"/>
      <c r="B56" s="1045"/>
      <c r="C56" s="970"/>
      <c r="D56" s="969"/>
      <c r="E56" s="969"/>
      <c r="F56" s="969"/>
      <c r="G56" s="969"/>
      <c r="H56" s="969"/>
      <c r="I56" s="969"/>
      <c r="J56" s="969"/>
      <c r="K56" s="977"/>
      <c r="L56" s="1006"/>
      <c r="M56" s="1044"/>
    </row>
    <row r="57" spans="1:15" ht="33.75" customHeight="1" thickBot="1" x14ac:dyDescent="0.25">
      <c r="A57" s="1000"/>
      <c r="B57" s="1045"/>
      <c r="C57" s="970"/>
      <c r="D57" s="969"/>
      <c r="E57" s="969"/>
      <c r="F57" s="969"/>
      <c r="G57" s="969"/>
      <c r="H57" s="969"/>
      <c r="I57" s="969"/>
      <c r="J57" s="969"/>
      <c r="K57" s="977"/>
      <c r="L57" s="1006"/>
      <c r="M57" s="1044"/>
    </row>
    <row r="58" spans="1:15" ht="18.75" customHeight="1" thickBot="1" x14ac:dyDescent="0.25">
      <c r="A58" s="1000"/>
      <c r="B58" s="1045"/>
      <c r="C58" s="970"/>
      <c r="D58" s="969"/>
      <c r="E58" s="969"/>
      <c r="F58" s="969"/>
      <c r="G58" s="969"/>
      <c r="H58" s="969"/>
      <c r="I58" s="969"/>
      <c r="J58" s="969"/>
      <c r="K58" s="977"/>
      <c r="L58" s="1006"/>
      <c r="M58" s="1044"/>
    </row>
    <row r="59" spans="1:15" ht="49.5" customHeight="1" thickBot="1" x14ac:dyDescent="0.25">
      <c r="A59" s="1000"/>
      <c r="B59" s="1045"/>
      <c r="C59" s="970"/>
      <c r="D59" s="969"/>
      <c r="E59" s="969"/>
      <c r="F59" s="969"/>
      <c r="G59" s="969"/>
      <c r="H59" s="969"/>
      <c r="I59" s="969"/>
      <c r="J59" s="969"/>
      <c r="K59" s="978"/>
      <c r="L59" s="1006"/>
      <c r="M59" s="1044"/>
    </row>
    <row r="60" spans="1:15" ht="30.75" customHeight="1" thickBot="1" x14ac:dyDescent="0.3">
      <c r="A60" s="1000"/>
      <c r="B60" s="973" t="s">
        <v>316</v>
      </c>
      <c r="C60" s="970">
        <f>'ES CT Electric Table A  '!P14/1000</f>
        <v>15312.025</v>
      </c>
      <c r="D60" s="971" t="s">
        <v>78</v>
      </c>
      <c r="E60" s="971"/>
      <c r="F60" s="971"/>
      <c r="G60" s="968">
        <f>+E37</f>
        <v>28405784.203310303</v>
      </c>
      <c r="H60" s="968"/>
      <c r="I60" s="971"/>
      <c r="J60" s="1032" t="s">
        <v>324</v>
      </c>
      <c r="K60" s="971" t="s">
        <v>13</v>
      </c>
      <c r="L60" s="971"/>
      <c r="M60" s="1011"/>
    </row>
    <row r="61" spans="1:15" ht="38.25" customHeight="1" thickBot="1" x14ac:dyDescent="0.3">
      <c r="A61" s="1000"/>
      <c r="B61" s="974"/>
      <c r="C61" s="970"/>
      <c r="D61" s="971" t="s">
        <v>86</v>
      </c>
      <c r="E61" s="971"/>
      <c r="F61" s="971"/>
      <c r="G61" s="968">
        <f>+G37</f>
        <v>256.28787956783577</v>
      </c>
      <c r="H61" s="968"/>
      <c r="I61" s="971"/>
      <c r="J61" s="1032"/>
      <c r="K61" s="971"/>
      <c r="L61" s="971"/>
      <c r="M61" s="1011"/>
    </row>
    <row r="62" spans="1:15" ht="18.75" customHeight="1" thickBot="1" x14ac:dyDescent="0.25">
      <c r="A62" s="1000"/>
      <c r="B62" s="974"/>
      <c r="C62" s="970"/>
      <c r="D62" s="969" t="s">
        <v>454</v>
      </c>
      <c r="E62" s="969"/>
      <c r="F62" s="969"/>
      <c r="G62" s="969"/>
      <c r="H62" s="969"/>
      <c r="I62" s="969"/>
      <c r="J62" s="969" t="s">
        <v>455</v>
      </c>
      <c r="K62" s="1083" t="s">
        <v>456</v>
      </c>
      <c r="L62" s="1006">
        <v>0.01</v>
      </c>
      <c r="M62" s="1044">
        <f>$D$11*L62</f>
        <v>67179.790504537101</v>
      </c>
    </row>
    <row r="63" spans="1:15" ht="18.75" customHeight="1" thickBot="1" x14ac:dyDescent="0.25">
      <c r="A63" s="1000"/>
      <c r="B63" s="974"/>
      <c r="C63" s="970"/>
      <c r="D63" s="969"/>
      <c r="E63" s="969"/>
      <c r="F63" s="969"/>
      <c r="G63" s="969"/>
      <c r="H63" s="969"/>
      <c r="I63" s="969"/>
      <c r="J63" s="969"/>
      <c r="K63" s="1083"/>
      <c r="L63" s="1006"/>
      <c r="M63" s="1044"/>
    </row>
    <row r="64" spans="1:15" ht="18.75" customHeight="1" thickBot="1" x14ac:dyDescent="0.25">
      <c r="A64" s="1000"/>
      <c r="B64" s="974"/>
      <c r="C64" s="970"/>
      <c r="D64" s="969"/>
      <c r="E64" s="969"/>
      <c r="F64" s="969"/>
      <c r="G64" s="969"/>
      <c r="H64" s="969"/>
      <c r="I64" s="969"/>
      <c r="J64" s="969"/>
      <c r="K64" s="1083"/>
      <c r="L64" s="1006"/>
      <c r="M64" s="1044"/>
    </row>
    <row r="65" spans="1:13" ht="57.75" customHeight="1" thickBot="1" x14ac:dyDescent="0.25">
      <c r="A65" s="1000"/>
      <c r="B65" s="974"/>
      <c r="C65" s="970"/>
      <c r="D65" s="969"/>
      <c r="E65" s="969"/>
      <c r="F65" s="969"/>
      <c r="G65" s="969"/>
      <c r="H65" s="969"/>
      <c r="I65" s="969"/>
      <c r="J65" s="969"/>
      <c r="K65" s="1083"/>
      <c r="L65" s="1006"/>
      <c r="M65" s="1044"/>
    </row>
    <row r="66" spans="1:13" ht="108" customHeight="1" thickBot="1" x14ac:dyDescent="0.25">
      <c r="A66" s="1000"/>
      <c r="B66" s="974"/>
      <c r="C66" s="970"/>
      <c r="D66" s="1001" t="s">
        <v>457</v>
      </c>
      <c r="E66" s="1142"/>
      <c r="F66" s="1142"/>
      <c r="G66" s="1142"/>
      <c r="H66" s="1142"/>
      <c r="I66" s="1143"/>
      <c r="J66" s="632" t="s">
        <v>458</v>
      </c>
      <c r="K66" s="636" t="s">
        <v>461</v>
      </c>
      <c r="L66" s="633">
        <v>0.01</v>
      </c>
      <c r="M66" s="634">
        <f>$D$11*L66</f>
        <v>67179.790504537101</v>
      </c>
    </row>
    <row r="67" spans="1:13" ht="73.5" customHeight="1" thickBot="1" x14ac:dyDescent="0.25">
      <c r="A67" s="1000"/>
      <c r="B67" s="974"/>
      <c r="C67" s="970"/>
      <c r="D67" s="969" t="s">
        <v>459</v>
      </c>
      <c r="E67" s="969"/>
      <c r="F67" s="969"/>
      <c r="G67" s="969"/>
      <c r="H67" s="969"/>
      <c r="I67" s="969"/>
      <c r="J67" s="969" t="s">
        <v>460</v>
      </c>
      <c r="K67" s="969" t="s">
        <v>451</v>
      </c>
      <c r="L67" s="1019">
        <v>0.01</v>
      </c>
      <c r="M67" s="1144">
        <f>$D$11*L67</f>
        <v>67179.790504537101</v>
      </c>
    </row>
    <row r="68" spans="1:13" ht="28.5" customHeight="1" thickBot="1" x14ac:dyDescent="0.25">
      <c r="A68" s="1000"/>
      <c r="B68" s="974"/>
      <c r="C68" s="970"/>
      <c r="D68" s="969"/>
      <c r="E68" s="969"/>
      <c r="F68" s="969"/>
      <c r="G68" s="969"/>
      <c r="H68" s="969"/>
      <c r="I68" s="969"/>
      <c r="J68" s="969"/>
      <c r="K68" s="969"/>
      <c r="L68" s="1021"/>
      <c r="M68" s="1145"/>
    </row>
    <row r="69" spans="1:13" ht="19.5" customHeight="1" thickBot="1" x14ac:dyDescent="0.25">
      <c r="A69" s="1000"/>
      <c r="B69" s="1077" t="s">
        <v>340</v>
      </c>
      <c r="C69" s="980"/>
      <c r="D69" s="969" t="s">
        <v>343</v>
      </c>
      <c r="E69" s="969"/>
      <c r="F69" s="969"/>
      <c r="G69" s="969"/>
      <c r="H69" s="969"/>
      <c r="I69" s="969"/>
      <c r="J69" s="969" t="s">
        <v>342</v>
      </c>
      <c r="K69" s="1032"/>
      <c r="L69" s="1006">
        <v>0.02</v>
      </c>
      <c r="M69" s="1044">
        <f>$D$11*L69</f>
        <v>134359.5810090742</v>
      </c>
    </row>
    <row r="70" spans="1:13" ht="19.5" customHeight="1" thickBot="1" x14ac:dyDescent="0.25">
      <c r="A70" s="1000"/>
      <c r="B70" s="1077"/>
      <c r="C70" s="980"/>
      <c r="D70" s="969"/>
      <c r="E70" s="969"/>
      <c r="F70" s="969"/>
      <c r="G70" s="969"/>
      <c r="H70" s="969"/>
      <c r="I70" s="969"/>
      <c r="J70" s="969"/>
      <c r="K70" s="1032"/>
      <c r="L70" s="1006"/>
      <c r="M70" s="1044"/>
    </row>
    <row r="71" spans="1:13" ht="14.25" customHeight="1" thickBot="1" x14ac:dyDescent="0.25">
      <c r="A71" s="1000"/>
      <c r="B71" s="1077"/>
      <c r="C71" s="980"/>
      <c r="D71" s="969"/>
      <c r="E71" s="969"/>
      <c r="F71" s="969"/>
      <c r="G71" s="969"/>
      <c r="H71" s="969"/>
      <c r="I71" s="969"/>
      <c r="J71" s="969"/>
      <c r="K71" s="1032"/>
      <c r="L71" s="1006"/>
      <c r="M71" s="1044"/>
    </row>
    <row r="72" spans="1:13" ht="40.5" customHeight="1" thickBot="1" x14ac:dyDescent="0.25">
      <c r="A72" s="1000"/>
      <c r="B72" s="1078"/>
      <c r="C72" s="981"/>
      <c r="D72" s="969"/>
      <c r="E72" s="969"/>
      <c r="F72" s="969"/>
      <c r="G72" s="969"/>
      <c r="H72" s="969"/>
      <c r="I72" s="969"/>
      <c r="J72" s="969"/>
      <c r="K72" s="1032"/>
      <c r="L72" s="1006"/>
      <c r="M72" s="1044"/>
    </row>
    <row r="73" spans="1:13" ht="25.5" customHeight="1" thickBot="1" x14ac:dyDescent="0.3">
      <c r="A73" s="1000"/>
      <c r="B73" s="1076" t="s">
        <v>96</v>
      </c>
      <c r="C73" s="979">
        <f>'ES CT Electric Table A  '!P10/1000</f>
        <v>3300</v>
      </c>
      <c r="D73" s="971" t="s">
        <v>78</v>
      </c>
      <c r="E73" s="971"/>
      <c r="F73" s="971"/>
      <c r="G73" s="968">
        <f>+E33</f>
        <v>54206241.104304075</v>
      </c>
      <c r="H73" s="968"/>
      <c r="I73" s="971"/>
      <c r="J73" s="969" t="s">
        <v>324</v>
      </c>
      <c r="K73" s="1032" t="s">
        <v>13</v>
      </c>
      <c r="L73" s="1006" t="s">
        <v>13</v>
      </c>
      <c r="M73" s="1044" t="s">
        <v>13</v>
      </c>
    </row>
    <row r="74" spans="1:13" ht="27.75" customHeight="1" thickBot="1" x14ac:dyDescent="0.3">
      <c r="A74" s="1000"/>
      <c r="B74" s="1077"/>
      <c r="C74" s="980"/>
      <c r="D74" s="971" t="s">
        <v>86</v>
      </c>
      <c r="E74" s="971"/>
      <c r="F74" s="971"/>
      <c r="G74" s="968">
        <f>+G33</f>
        <v>651.66487629281016</v>
      </c>
      <c r="H74" s="968"/>
      <c r="I74" s="971"/>
      <c r="J74" s="969"/>
      <c r="K74" s="1032"/>
      <c r="L74" s="1006"/>
      <c r="M74" s="1044"/>
    </row>
    <row r="75" spans="1:13" ht="19.5" customHeight="1" thickBot="1" x14ac:dyDescent="0.25">
      <c r="A75" s="1000"/>
      <c r="B75" s="1077"/>
      <c r="C75" s="980"/>
      <c r="D75" s="971" t="s">
        <v>13</v>
      </c>
      <c r="E75" s="971"/>
      <c r="F75" s="971"/>
      <c r="G75" s="971"/>
      <c r="H75" s="971"/>
      <c r="I75" s="971"/>
      <c r="J75" s="969"/>
      <c r="K75" s="1032"/>
      <c r="L75" s="1006"/>
      <c r="M75" s="1044"/>
    </row>
    <row r="76" spans="1:13" ht="19.5" customHeight="1" thickBot="1" x14ac:dyDescent="0.25">
      <c r="A76" s="1000"/>
      <c r="B76" s="1077"/>
      <c r="C76" s="980"/>
      <c r="D76" s="971"/>
      <c r="E76" s="971"/>
      <c r="F76" s="971"/>
      <c r="G76" s="971"/>
      <c r="H76" s="971"/>
      <c r="I76" s="971"/>
      <c r="J76" s="969"/>
      <c r="K76" s="1032"/>
      <c r="L76" s="1006"/>
      <c r="M76" s="1044"/>
    </row>
    <row r="77" spans="1:13" ht="14.25" customHeight="1" thickBot="1" x14ac:dyDescent="0.25">
      <c r="A77" s="1000"/>
      <c r="B77" s="1077"/>
      <c r="C77" s="980"/>
      <c r="D77" s="971"/>
      <c r="E77" s="971"/>
      <c r="F77" s="971"/>
      <c r="G77" s="971"/>
      <c r="H77" s="971"/>
      <c r="I77" s="971"/>
      <c r="J77" s="969"/>
      <c r="K77" s="1032"/>
      <c r="L77" s="1006"/>
      <c r="M77" s="1044"/>
    </row>
    <row r="78" spans="1:13" ht="9" customHeight="1" thickBot="1" x14ac:dyDescent="0.25">
      <c r="A78" s="1000"/>
      <c r="B78" s="1078"/>
      <c r="C78" s="981"/>
      <c r="D78" s="971"/>
      <c r="E78" s="971"/>
      <c r="F78" s="971"/>
      <c r="G78" s="971"/>
      <c r="H78" s="971"/>
      <c r="I78" s="971"/>
      <c r="J78" s="969"/>
      <c r="K78" s="1032"/>
      <c r="L78" s="1006"/>
      <c r="M78" s="1044"/>
    </row>
    <row r="79" spans="1:13" ht="36.75" customHeight="1" thickBot="1" x14ac:dyDescent="0.25">
      <c r="A79" s="1000"/>
      <c r="B79" s="975" t="s">
        <v>79</v>
      </c>
      <c r="C79" s="975"/>
      <c r="D79" s="967" t="s">
        <v>71</v>
      </c>
      <c r="E79" s="967" t="s">
        <v>72</v>
      </c>
      <c r="F79" s="967"/>
      <c r="G79" s="967" t="s">
        <v>73</v>
      </c>
      <c r="H79" s="967"/>
      <c r="I79" s="999" t="s">
        <v>74</v>
      </c>
      <c r="J79" s="1033"/>
      <c r="K79" s="1033"/>
      <c r="L79" s="1033"/>
      <c r="M79" s="1084"/>
    </row>
    <row r="80" spans="1:13" ht="19.5" customHeight="1" thickBot="1" x14ac:dyDescent="0.25">
      <c r="A80" s="1000"/>
      <c r="B80" s="975"/>
      <c r="C80" s="975"/>
      <c r="D80" s="967"/>
      <c r="E80" s="967"/>
      <c r="F80" s="967"/>
      <c r="G80" s="967"/>
      <c r="H80" s="967"/>
      <c r="I80" s="999"/>
      <c r="J80" s="1033"/>
      <c r="K80" s="1033"/>
      <c r="L80" s="1033"/>
      <c r="M80" s="1084"/>
    </row>
    <row r="81" spans="1:18" ht="39.75" customHeight="1" thickBot="1" x14ac:dyDescent="0.3">
      <c r="A81" s="1000"/>
      <c r="B81" s="973" t="s">
        <v>102</v>
      </c>
      <c r="C81" s="970">
        <f>'ES CT Electric Table A  '!P22/1000</f>
        <v>57294.431678755434</v>
      </c>
      <c r="D81" s="451" t="s">
        <v>106</v>
      </c>
      <c r="E81" s="997">
        <f>'2014-24 ESCTETable D3-lftimekWh'!P16*1000</f>
        <v>221293017.45361578</v>
      </c>
      <c r="F81" s="997"/>
      <c r="G81" s="997">
        <f>'2014-24 ES CT E Table D1-kW'!P16</f>
        <v>3966.8047105163878</v>
      </c>
      <c r="H81" s="997"/>
      <c r="I81" s="449">
        <f>(E81*E87+G81*G87)/K83</f>
        <v>0.24517752409207302</v>
      </c>
      <c r="J81" s="1014" t="s">
        <v>92</v>
      </c>
      <c r="K81" s="1014" t="s">
        <v>91</v>
      </c>
      <c r="L81" s="1025">
        <f>0.21-0.0025</f>
        <v>0.20749999999999999</v>
      </c>
      <c r="M81" s="1012">
        <f>$D$11*L81</f>
        <v>1393980.6529691448</v>
      </c>
    </row>
    <row r="82" spans="1:18" ht="44.25" customHeight="1" thickBot="1" x14ac:dyDescent="0.3">
      <c r="A82" s="1000"/>
      <c r="B82" s="973"/>
      <c r="C82" s="970"/>
      <c r="D82" s="451" t="s">
        <v>97</v>
      </c>
      <c r="E82" s="997">
        <f>'2014-24 ESCTETable D3-lftimekWh'!P17*1000</f>
        <v>405545504.45728588</v>
      </c>
      <c r="F82" s="997"/>
      <c r="G82" s="997">
        <f>'2014-24 ES CT E Table D1-kW'!P17</f>
        <v>9359.8634164591385</v>
      </c>
      <c r="H82" s="997"/>
      <c r="I82" s="449">
        <f>+(E82*E87+G82*G87)/K83</f>
        <v>0.4750827248639562</v>
      </c>
      <c r="J82" s="1014"/>
      <c r="K82" s="1014"/>
      <c r="L82" s="1025"/>
      <c r="M82" s="1012"/>
    </row>
    <row r="83" spans="1:18" ht="60.75" customHeight="1" thickBot="1" x14ac:dyDescent="0.3">
      <c r="A83" s="1000"/>
      <c r="B83" s="973"/>
      <c r="C83" s="970"/>
      <c r="D83" s="451" t="s">
        <v>217</v>
      </c>
      <c r="E83" s="997">
        <f>'2014-24 ESCTETable D3-lftimekWh'!P18*1000</f>
        <v>74575546.713394821</v>
      </c>
      <c r="F83" s="997"/>
      <c r="G83" s="997">
        <f>'2014-24 ES CT E Table D1-kW'!P18</f>
        <v>1794.451962279644</v>
      </c>
      <c r="H83" s="997"/>
      <c r="I83" s="449">
        <f>(E83*E87+G83*G87)/K83</f>
        <v>8.8265922790628185E-2</v>
      </c>
      <c r="J83" s="1014"/>
      <c r="K83" s="1004">
        <f>E88+G88</f>
        <v>148848997.82927173</v>
      </c>
      <c r="L83" s="1025"/>
      <c r="M83" s="1012"/>
    </row>
    <row r="84" spans="1:18" ht="42.75" customHeight="1" thickBot="1" x14ac:dyDescent="0.3">
      <c r="A84" s="1000"/>
      <c r="B84" s="973"/>
      <c r="C84" s="970"/>
      <c r="D84" s="451" t="s">
        <v>80</v>
      </c>
      <c r="E84" s="997">
        <f>'2014-24 ESCTETable D3-lftimekWh'!P19*1000</f>
        <v>157339256.68546757</v>
      </c>
      <c r="F84" s="997"/>
      <c r="G84" s="997">
        <f>'2014-24 ES CT E Table D1-kW'!P19</f>
        <v>4212.3109382911534</v>
      </c>
      <c r="H84" s="997"/>
      <c r="I84" s="449">
        <f>(E84*E87+G84*G87)/K83</f>
        <v>0.19147914176842901</v>
      </c>
      <c r="J84" s="1014"/>
      <c r="K84" s="1004"/>
      <c r="L84" s="1025"/>
      <c r="M84" s="1012"/>
    </row>
    <row r="85" spans="1:18" ht="18.75" customHeight="1" thickBot="1" x14ac:dyDescent="0.3">
      <c r="A85" s="1000"/>
      <c r="B85" s="973"/>
      <c r="C85" s="970"/>
      <c r="D85" s="451" t="s">
        <v>76</v>
      </c>
      <c r="E85" s="998">
        <f>ROUND(SUM(E81:E84),0)</f>
        <v>858753325</v>
      </c>
      <c r="F85" s="998"/>
      <c r="G85" s="998">
        <f>ROUND(SUM(G81:G84),0)</f>
        <v>19333</v>
      </c>
      <c r="H85" s="998"/>
      <c r="I85" s="584"/>
      <c r="J85" s="1014"/>
      <c r="K85" s="1004"/>
      <c r="L85" s="1025"/>
      <c r="M85" s="1012"/>
    </row>
    <row r="86" spans="1:18" ht="18.75" customHeight="1" thickBot="1" x14ac:dyDescent="0.25">
      <c r="A86" s="1000"/>
      <c r="B86" s="973"/>
      <c r="C86" s="970"/>
      <c r="D86" s="969"/>
      <c r="E86" s="969"/>
      <c r="F86" s="969"/>
      <c r="G86" s="969"/>
      <c r="H86" s="969"/>
      <c r="I86" s="969"/>
      <c r="J86" s="1014"/>
      <c r="K86" s="1004"/>
      <c r="L86" s="1025"/>
      <c r="M86" s="1012"/>
    </row>
    <row r="87" spans="1:18" ht="36.75" customHeight="1" thickBot="1" x14ac:dyDescent="0.25">
      <c r="A87" s="1000"/>
      <c r="B87" s="973"/>
      <c r="C87" s="970"/>
      <c r="D87" s="451" t="s">
        <v>77</v>
      </c>
      <c r="E87" s="463">
        <f>E88/E85</f>
        <v>0.13202378046439239</v>
      </c>
      <c r="F87" s="463" t="s">
        <v>4</v>
      </c>
      <c r="G87" s="596">
        <f>G88/G85</f>
        <v>1834.8490858327584</v>
      </c>
      <c r="H87" s="586" t="s">
        <v>5</v>
      </c>
      <c r="I87" s="1026"/>
      <c r="J87" s="1014"/>
      <c r="K87" s="1004"/>
      <c r="L87" s="1025"/>
      <c r="M87" s="1012"/>
    </row>
    <row r="88" spans="1:18" ht="26.25" customHeight="1" thickBot="1" x14ac:dyDescent="0.25">
      <c r="A88" s="1000"/>
      <c r="B88" s="973"/>
      <c r="C88" s="970"/>
      <c r="D88" s="452" t="s">
        <v>216</v>
      </c>
      <c r="E88" s="596">
        <f>'[18]Eversource Elect_Table_B'!$BQ$73</f>
        <v>113375860.45286702</v>
      </c>
      <c r="F88" s="590"/>
      <c r="G88" s="596">
        <f>'[18]Eversource Elect_Table_B'!$BY$73</f>
        <v>35473137.376404718</v>
      </c>
      <c r="H88" s="586"/>
      <c r="I88" s="1027"/>
      <c r="J88" s="1014"/>
      <c r="K88" s="1004"/>
      <c r="L88" s="1025"/>
      <c r="M88" s="1012"/>
      <c r="O88" s="151">
        <f>SUM(L31:L77)</f>
        <v>0.47500000000000014</v>
      </c>
      <c r="P88" t="s">
        <v>103</v>
      </c>
      <c r="R88" s="37">
        <f>SUM(M31:M77)</f>
        <v>3191040.0489655123</v>
      </c>
    </row>
    <row r="89" spans="1:18" ht="24" customHeight="1" thickBot="1" x14ac:dyDescent="0.25">
      <c r="A89" s="1000"/>
      <c r="B89" s="973"/>
      <c r="C89" s="970"/>
      <c r="D89" s="1029" t="s">
        <v>81</v>
      </c>
      <c r="E89" s="1030"/>
      <c r="F89" s="1030"/>
      <c r="G89" s="1030"/>
      <c r="H89" s="1031"/>
      <c r="I89" s="1028"/>
      <c r="J89" s="1014"/>
      <c r="K89" s="1004"/>
      <c r="L89" s="1025"/>
      <c r="M89" s="1012"/>
      <c r="O89">
        <f>SUM(L79:L115)</f>
        <v>0.5149999999999999</v>
      </c>
      <c r="P89" t="s">
        <v>104</v>
      </c>
      <c r="R89" s="37">
        <f>SUM(M81:M115)</f>
        <v>3459759.2109836615</v>
      </c>
    </row>
    <row r="90" spans="1:18" ht="50.25" customHeight="1" thickBot="1" x14ac:dyDescent="0.25">
      <c r="A90" s="1000"/>
      <c r="B90" s="602" t="s">
        <v>87</v>
      </c>
      <c r="C90" s="453"/>
      <c r="D90" s="998" t="s">
        <v>83</v>
      </c>
      <c r="E90" s="998"/>
      <c r="F90" s="998"/>
      <c r="G90" s="998"/>
      <c r="H90" s="998"/>
      <c r="I90" s="581">
        <f>K83-C81*1000</f>
        <v>91554566.150516301</v>
      </c>
      <c r="J90" s="589"/>
      <c r="K90" s="600">
        <f>I90</f>
        <v>91554566.150516301</v>
      </c>
      <c r="L90" s="605">
        <f>0.21-0.0025</f>
        <v>0.20749999999999999</v>
      </c>
      <c r="M90" s="600">
        <f>$D$11*L90</f>
        <v>1393980.6529691448</v>
      </c>
      <c r="O90" s="543">
        <f>L116</f>
        <v>0.01</v>
      </c>
      <c r="P90" s="41" t="s">
        <v>370</v>
      </c>
      <c r="R90" s="37">
        <f>M116</f>
        <v>67179.790504537101</v>
      </c>
    </row>
    <row r="91" spans="1:18" ht="57.75" customHeight="1" thickBot="1" x14ac:dyDescent="0.25">
      <c r="A91" s="1000"/>
      <c r="B91" s="973" t="s">
        <v>317</v>
      </c>
      <c r="C91" s="970">
        <f>'ES CT Electric Table A  '!P19/1000</f>
        <v>31572.624623665601</v>
      </c>
      <c r="D91" s="969" t="s">
        <v>352</v>
      </c>
      <c r="E91" s="969"/>
      <c r="F91" s="969"/>
      <c r="G91" s="969"/>
      <c r="H91" s="969"/>
      <c r="I91" s="969"/>
      <c r="J91" s="969" t="s">
        <v>322</v>
      </c>
      <c r="K91" s="1005" t="s">
        <v>353</v>
      </c>
      <c r="L91" s="1013">
        <v>2.5000000000000001E-2</v>
      </c>
      <c r="M91" s="1004">
        <f>$D$11*L91</f>
        <v>167949.47626134276</v>
      </c>
      <c r="O91" s="151">
        <f>SUM(O88:O90)</f>
        <v>1</v>
      </c>
      <c r="P91" t="s">
        <v>105</v>
      </c>
      <c r="R91" s="37">
        <f>SUM(R88:R90)</f>
        <v>6717979.0504537113</v>
      </c>
    </row>
    <row r="92" spans="1:18" ht="14.25" customHeight="1" thickBot="1" x14ac:dyDescent="0.25">
      <c r="A92" s="1000"/>
      <c r="B92" s="974"/>
      <c r="C92" s="970"/>
      <c r="D92" s="969"/>
      <c r="E92" s="969"/>
      <c r="F92" s="969"/>
      <c r="G92" s="969"/>
      <c r="H92" s="969"/>
      <c r="I92" s="969"/>
      <c r="J92" s="969"/>
      <c r="K92" s="1005"/>
      <c r="L92" s="1013"/>
      <c r="M92" s="1004"/>
      <c r="R92" s="37">
        <f>M117</f>
        <v>6717979.0504537113</v>
      </c>
    </row>
    <row r="93" spans="1:18" ht="93" customHeight="1" thickBot="1" x14ac:dyDescent="0.25">
      <c r="A93" s="1000"/>
      <c r="B93" s="974"/>
      <c r="C93" s="970"/>
      <c r="D93" s="969"/>
      <c r="E93" s="969"/>
      <c r="F93" s="969"/>
      <c r="G93" s="969"/>
      <c r="H93" s="969"/>
      <c r="I93" s="969"/>
      <c r="J93" s="969"/>
      <c r="K93" s="1005"/>
      <c r="L93" s="1013"/>
      <c r="M93" s="1004"/>
      <c r="R93" s="37">
        <f>R91-R92</f>
        <v>0</v>
      </c>
    </row>
    <row r="94" spans="1:18" ht="38.25" customHeight="1" thickBot="1" x14ac:dyDescent="0.25">
      <c r="A94" s="1000"/>
      <c r="B94" s="974"/>
      <c r="C94" s="970"/>
      <c r="D94" s="969"/>
      <c r="E94" s="969"/>
      <c r="F94" s="969"/>
      <c r="G94" s="969"/>
      <c r="H94" s="969"/>
      <c r="I94" s="969"/>
      <c r="J94" s="969"/>
      <c r="K94" s="1005"/>
      <c r="L94" s="1013"/>
      <c r="M94" s="1004"/>
    </row>
    <row r="95" spans="1:18" ht="18.75" customHeight="1" thickBot="1" x14ac:dyDescent="0.25">
      <c r="A95" s="1000"/>
      <c r="B95" s="974"/>
      <c r="C95" s="970"/>
      <c r="D95" s="969"/>
      <c r="E95" s="969"/>
      <c r="F95" s="969"/>
      <c r="G95" s="969"/>
      <c r="H95" s="969"/>
      <c r="I95" s="969"/>
      <c r="J95" s="969"/>
      <c r="K95" s="1005"/>
      <c r="L95" s="1013"/>
      <c r="M95" s="1004"/>
    </row>
    <row r="96" spans="1:18" ht="18.75" customHeight="1" thickBot="1" x14ac:dyDescent="0.25">
      <c r="A96" s="1000"/>
      <c r="B96" s="973" t="s">
        <v>106</v>
      </c>
      <c r="C96" s="970">
        <f>'ES CT Electric Table A  '!P18/1000</f>
        <v>10622.972475251701</v>
      </c>
      <c r="D96" s="1015" t="s">
        <v>321</v>
      </c>
      <c r="E96" s="1015"/>
      <c r="F96" s="1015"/>
      <c r="G96" s="1015"/>
      <c r="H96" s="1015"/>
      <c r="I96" s="1015"/>
      <c r="J96" s="969" t="s">
        <v>323</v>
      </c>
      <c r="K96" s="1005" t="s">
        <v>254</v>
      </c>
      <c r="L96" s="1013">
        <v>0.02</v>
      </c>
      <c r="M96" s="1004">
        <f>$D$11*L96</f>
        <v>134359.5810090742</v>
      </c>
    </row>
    <row r="97" spans="1:13" ht="12" customHeight="1" thickBot="1" x14ac:dyDescent="0.25">
      <c r="A97" s="1000"/>
      <c r="B97" s="973"/>
      <c r="C97" s="970"/>
      <c r="D97" s="1015"/>
      <c r="E97" s="1015"/>
      <c r="F97" s="1015"/>
      <c r="G97" s="1015"/>
      <c r="H97" s="1015"/>
      <c r="I97" s="1015"/>
      <c r="J97" s="969"/>
      <c r="K97" s="1005"/>
      <c r="L97" s="1013"/>
      <c r="M97" s="1004"/>
    </row>
    <row r="98" spans="1:13" ht="21" customHeight="1" thickBot="1" x14ac:dyDescent="0.25">
      <c r="A98" s="1000"/>
      <c r="B98" s="973"/>
      <c r="C98" s="970"/>
      <c r="D98" s="1015"/>
      <c r="E98" s="1015"/>
      <c r="F98" s="1015"/>
      <c r="G98" s="1015"/>
      <c r="H98" s="1015"/>
      <c r="I98" s="1015"/>
      <c r="J98" s="969"/>
      <c r="K98" s="1005"/>
      <c r="L98" s="1013"/>
      <c r="M98" s="1004"/>
    </row>
    <row r="99" spans="1:13" ht="84" customHeight="1" thickBot="1" x14ac:dyDescent="0.25">
      <c r="A99" s="1000"/>
      <c r="B99" s="973"/>
      <c r="C99" s="970"/>
      <c r="D99" s="1015"/>
      <c r="E99" s="1015"/>
      <c r="F99" s="1015"/>
      <c r="G99" s="1015"/>
      <c r="H99" s="1015"/>
      <c r="I99" s="1015"/>
      <c r="J99" s="969"/>
      <c r="K99" s="1005"/>
      <c r="L99" s="1013"/>
      <c r="M99" s="1004"/>
    </row>
    <row r="100" spans="1:13" ht="21" customHeight="1" thickBot="1" x14ac:dyDescent="0.25">
      <c r="A100" s="1000"/>
      <c r="B100" s="973"/>
      <c r="C100" s="970"/>
      <c r="D100" s="1015"/>
      <c r="E100" s="1015"/>
      <c r="F100" s="1015"/>
      <c r="G100" s="1015"/>
      <c r="H100" s="1015"/>
      <c r="I100" s="1015"/>
      <c r="J100" s="969"/>
      <c r="K100" s="1005"/>
      <c r="L100" s="1013"/>
      <c r="M100" s="1004"/>
    </row>
    <row r="101" spans="1:13" ht="6" customHeight="1" thickBot="1" x14ac:dyDescent="0.25">
      <c r="A101" s="1000"/>
      <c r="B101" s="973"/>
      <c r="C101" s="970"/>
      <c r="D101" s="1015"/>
      <c r="E101" s="1015"/>
      <c r="F101" s="1015"/>
      <c r="G101" s="1015"/>
      <c r="H101" s="1015"/>
      <c r="I101" s="1015"/>
      <c r="J101" s="969"/>
      <c r="K101" s="1005"/>
      <c r="L101" s="1013"/>
      <c r="M101" s="1004"/>
    </row>
    <row r="102" spans="1:13" ht="38.25" customHeight="1" thickBot="1" x14ac:dyDescent="0.3">
      <c r="A102" s="1000"/>
      <c r="B102" s="974" t="s">
        <v>80</v>
      </c>
      <c r="C102" s="970">
        <f>'ES CT Electric Table A  '!P21/1000</f>
        <v>12039.215838563601</v>
      </c>
      <c r="D102" s="971" t="s">
        <v>0</v>
      </c>
      <c r="E102" s="971"/>
      <c r="F102" s="971"/>
      <c r="G102" s="972">
        <f>E84</f>
        <v>157339256.68546757</v>
      </c>
      <c r="H102" s="972"/>
      <c r="I102" s="971"/>
      <c r="J102" s="969" t="s">
        <v>324</v>
      </c>
      <c r="K102" s="971"/>
      <c r="L102" s="971"/>
      <c r="M102" s="1011"/>
    </row>
    <row r="103" spans="1:13" ht="48" customHeight="1" thickBot="1" x14ac:dyDescent="0.3">
      <c r="A103" s="1000"/>
      <c r="B103" s="974"/>
      <c r="C103" s="970"/>
      <c r="D103" s="971" t="s">
        <v>1</v>
      </c>
      <c r="E103" s="971"/>
      <c r="F103" s="971"/>
      <c r="G103" s="972">
        <f>G84</f>
        <v>4212.3109382911534</v>
      </c>
      <c r="H103" s="972"/>
      <c r="I103" s="971"/>
      <c r="J103" s="969"/>
      <c r="K103" s="971"/>
      <c r="L103" s="971"/>
      <c r="M103" s="1011"/>
    </row>
    <row r="104" spans="1:13" ht="15.75" customHeight="1" thickBot="1" x14ac:dyDescent="0.25">
      <c r="A104" s="1000"/>
      <c r="B104" s="974"/>
      <c r="C104" s="970"/>
      <c r="D104" s="969" t="s">
        <v>354</v>
      </c>
      <c r="E104" s="969"/>
      <c r="F104" s="969"/>
      <c r="G104" s="969"/>
      <c r="H104" s="969"/>
      <c r="I104" s="969"/>
      <c r="J104" s="969" t="s">
        <v>318</v>
      </c>
      <c r="K104" s="1005" t="s">
        <v>355</v>
      </c>
      <c r="L104" s="1006">
        <v>2.5000000000000001E-2</v>
      </c>
      <c r="M104" s="1004">
        <f>$D$11*L104</f>
        <v>167949.47626134276</v>
      </c>
    </row>
    <row r="105" spans="1:13" ht="30" customHeight="1" thickBot="1" x14ac:dyDescent="0.25">
      <c r="A105" s="1000"/>
      <c r="B105" s="974"/>
      <c r="C105" s="970"/>
      <c r="D105" s="969"/>
      <c r="E105" s="969"/>
      <c r="F105" s="969"/>
      <c r="G105" s="969"/>
      <c r="H105" s="969"/>
      <c r="I105" s="969"/>
      <c r="J105" s="969"/>
      <c r="K105" s="1005"/>
      <c r="L105" s="1006"/>
      <c r="M105" s="1004"/>
    </row>
    <row r="106" spans="1:13" ht="89.25" customHeight="1" thickBot="1" x14ac:dyDescent="0.25">
      <c r="A106" s="1000"/>
      <c r="B106" s="974"/>
      <c r="C106" s="970"/>
      <c r="D106" s="969"/>
      <c r="E106" s="969"/>
      <c r="F106" s="969"/>
      <c r="G106" s="969"/>
      <c r="H106" s="969"/>
      <c r="I106" s="969"/>
      <c r="J106" s="969"/>
      <c r="K106" s="1005"/>
      <c r="L106" s="1006"/>
      <c r="M106" s="1004"/>
    </row>
    <row r="107" spans="1:13" ht="21.75" customHeight="1" thickBot="1" x14ac:dyDescent="0.25">
      <c r="A107" s="1000"/>
      <c r="B107" s="1007"/>
      <c r="C107" s="970"/>
      <c r="D107" s="969"/>
      <c r="E107" s="969"/>
      <c r="F107" s="969"/>
      <c r="G107" s="969"/>
      <c r="H107" s="969"/>
      <c r="I107" s="969"/>
      <c r="J107" s="969"/>
      <c r="K107" s="1005"/>
      <c r="L107" s="1006"/>
      <c r="M107" s="1004"/>
    </row>
    <row r="108" spans="1:13" ht="4.5" customHeight="1" thickBot="1" x14ac:dyDescent="0.25">
      <c r="A108" s="1000"/>
      <c r="B108" s="1007"/>
      <c r="C108" s="970"/>
      <c r="D108" s="969"/>
      <c r="E108" s="969"/>
      <c r="F108" s="969"/>
      <c r="G108" s="969"/>
      <c r="H108" s="969"/>
      <c r="I108" s="969"/>
      <c r="J108" s="969"/>
      <c r="K108" s="1005"/>
      <c r="L108" s="1006"/>
      <c r="M108" s="1004"/>
    </row>
    <row r="109" spans="1:13" ht="48" customHeight="1" thickBot="1" x14ac:dyDescent="0.25">
      <c r="A109" s="1000"/>
      <c r="B109" s="1016" t="s">
        <v>340</v>
      </c>
      <c r="C109" s="538" t="s">
        <v>357</v>
      </c>
      <c r="D109" s="1022" t="s">
        <v>366</v>
      </c>
      <c r="E109" s="1023"/>
      <c r="F109" s="1023"/>
      <c r="G109" s="1023"/>
      <c r="H109" s="1023"/>
      <c r="I109" s="1024"/>
      <c r="J109" s="991" t="s">
        <v>365</v>
      </c>
      <c r="K109" s="599"/>
      <c r="L109" s="542">
        <v>3.7499999999999999E-3</v>
      </c>
      <c r="M109" s="597">
        <f t="shared" ref="M109:M113" si="2">$D$11*L109</f>
        <v>25192.421439201411</v>
      </c>
    </row>
    <row r="110" spans="1:13" ht="76.5" customHeight="1" thickBot="1" x14ac:dyDescent="0.25">
      <c r="A110" s="1000"/>
      <c r="B110" s="1017"/>
      <c r="C110" s="539" t="s">
        <v>358</v>
      </c>
      <c r="D110" s="1022" t="s">
        <v>367</v>
      </c>
      <c r="E110" s="1023"/>
      <c r="F110" s="1023"/>
      <c r="G110" s="1023"/>
      <c r="H110" s="1023"/>
      <c r="I110" s="1024"/>
      <c r="J110" s="1018"/>
      <c r="K110" s="599"/>
      <c r="L110" s="542">
        <v>3.7499999999999999E-3</v>
      </c>
      <c r="M110" s="597">
        <f t="shared" si="2"/>
        <v>25192.421439201411</v>
      </c>
    </row>
    <row r="111" spans="1:13" ht="48" customHeight="1" thickBot="1" x14ac:dyDescent="0.25">
      <c r="A111" s="1000"/>
      <c r="B111" s="1017"/>
      <c r="C111" s="539" t="s">
        <v>359</v>
      </c>
      <c r="D111" s="1022" t="s">
        <v>368</v>
      </c>
      <c r="E111" s="1023"/>
      <c r="F111" s="1023"/>
      <c r="G111" s="1023"/>
      <c r="H111" s="1023"/>
      <c r="I111" s="1024"/>
      <c r="J111" s="1018"/>
      <c r="K111" s="599"/>
      <c r="L111" s="542">
        <v>3.7499999999999999E-3</v>
      </c>
      <c r="M111" s="597">
        <f t="shared" si="2"/>
        <v>25192.421439201411</v>
      </c>
    </row>
    <row r="112" spans="1:13" ht="48" customHeight="1" thickBot="1" x14ac:dyDescent="0.25">
      <c r="A112" s="1000"/>
      <c r="B112" s="1017"/>
      <c r="C112" s="540" t="s">
        <v>360</v>
      </c>
      <c r="D112" s="1022" t="s">
        <v>369</v>
      </c>
      <c r="E112" s="1023"/>
      <c r="F112" s="1023"/>
      <c r="G112" s="1023"/>
      <c r="H112" s="1023"/>
      <c r="I112" s="1024"/>
      <c r="J112" s="1018"/>
      <c r="K112" s="599"/>
      <c r="L112" s="542">
        <v>3.7499999999999999E-3</v>
      </c>
      <c r="M112" s="597">
        <f t="shared" si="2"/>
        <v>25192.421439201411</v>
      </c>
    </row>
    <row r="113" spans="1:13" ht="21" customHeight="1" x14ac:dyDescent="0.2">
      <c r="A113" s="1000"/>
      <c r="B113" s="976" t="s">
        <v>151</v>
      </c>
      <c r="C113" s="979">
        <f>'ES CT Electric Table A  '!P20/1000</f>
        <v>3059.6187412745303</v>
      </c>
      <c r="D113" s="982" t="s">
        <v>335</v>
      </c>
      <c r="E113" s="983"/>
      <c r="F113" s="983"/>
      <c r="G113" s="983"/>
      <c r="H113" s="983"/>
      <c r="I113" s="984"/>
      <c r="J113" s="991" t="s">
        <v>274</v>
      </c>
      <c r="K113" s="994" t="s">
        <v>356</v>
      </c>
      <c r="L113" s="1019">
        <v>1.4999999999999999E-2</v>
      </c>
      <c r="M113" s="1008">
        <f t="shared" si="2"/>
        <v>100769.68575680564</v>
      </c>
    </row>
    <row r="114" spans="1:13" ht="105" customHeight="1" x14ac:dyDescent="0.2">
      <c r="A114" s="1000"/>
      <c r="B114" s="977"/>
      <c r="C114" s="980"/>
      <c r="D114" s="985"/>
      <c r="E114" s="986"/>
      <c r="F114" s="986"/>
      <c r="G114" s="986"/>
      <c r="H114" s="986"/>
      <c r="I114" s="987"/>
      <c r="J114" s="992"/>
      <c r="K114" s="995"/>
      <c r="L114" s="1020"/>
      <c r="M114" s="1009"/>
    </row>
    <row r="115" spans="1:13" ht="21.75" customHeight="1" thickBot="1" x14ac:dyDescent="0.25">
      <c r="A115" s="1000"/>
      <c r="B115" s="978"/>
      <c r="C115" s="981"/>
      <c r="D115" s="988"/>
      <c r="E115" s="989"/>
      <c r="F115" s="989"/>
      <c r="G115" s="989"/>
      <c r="H115" s="989"/>
      <c r="I115" s="990"/>
      <c r="J115" s="993"/>
      <c r="K115" s="996"/>
      <c r="L115" s="1021"/>
      <c r="M115" s="1010"/>
    </row>
    <row r="116" spans="1:13" ht="71.25" customHeight="1" thickBot="1" x14ac:dyDescent="0.25">
      <c r="A116" s="1000"/>
      <c r="B116" s="585" t="s">
        <v>361</v>
      </c>
      <c r="C116" s="587"/>
      <c r="D116" s="1001" t="s">
        <v>362</v>
      </c>
      <c r="E116" s="1002"/>
      <c r="F116" s="1002"/>
      <c r="G116" s="1002"/>
      <c r="H116" s="1002"/>
      <c r="I116" s="1003"/>
      <c r="J116" s="586" t="s">
        <v>363</v>
      </c>
      <c r="K116" s="601" t="s">
        <v>364</v>
      </c>
      <c r="L116" s="541">
        <v>0.01</v>
      </c>
      <c r="M116" s="598">
        <f>$D$11*L116</f>
        <v>67179.790504537101</v>
      </c>
    </row>
    <row r="117" spans="1:13" ht="26.25" customHeight="1" thickBot="1" x14ac:dyDescent="0.3">
      <c r="A117" s="1000"/>
      <c r="B117" s="964" t="s">
        <v>82</v>
      </c>
      <c r="C117" s="965"/>
      <c r="D117" s="965"/>
      <c r="E117" s="965"/>
      <c r="F117" s="965"/>
      <c r="G117" s="965"/>
      <c r="H117" s="965"/>
      <c r="I117" s="965"/>
      <c r="J117" s="965"/>
      <c r="K117" s="966"/>
      <c r="L117" s="455">
        <f>SUM(L31:L116)</f>
        <v>1.0000000000000002</v>
      </c>
      <c r="M117" s="456">
        <f>SUM(M31:M116)</f>
        <v>6717979.0504537113</v>
      </c>
    </row>
    <row r="118" spans="1:13" ht="38.25" customHeight="1" x14ac:dyDescent="0.25">
      <c r="B118" s="58"/>
      <c r="C118" s="58"/>
      <c r="D118" s="152"/>
      <c r="E118" s="58"/>
      <c r="F118" s="58"/>
      <c r="G118" s="58"/>
      <c r="H118" s="58"/>
      <c r="I118" s="58"/>
      <c r="J118" s="58"/>
      <c r="K118" s="58"/>
      <c r="L118" s="59"/>
      <c r="M118" s="60"/>
    </row>
    <row r="119" spans="1:13" ht="21.75" customHeight="1" x14ac:dyDescent="0.25">
      <c r="B119" s="58"/>
      <c r="C119" s="58"/>
      <c r="D119" s="58"/>
      <c r="E119" s="58"/>
      <c r="F119" s="58"/>
      <c r="G119" s="58"/>
      <c r="H119" s="58"/>
      <c r="I119" s="58"/>
      <c r="J119" s="58"/>
      <c r="K119" s="58"/>
      <c r="L119" s="59"/>
      <c r="M119" s="60"/>
    </row>
    <row r="120" spans="1:13" ht="30" customHeight="1" x14ac:dyDescent="0.25">
      <c r="B120" s="58"/>
      <c r="C120" s="58"/>
      <c r="D120" s="58"/>
      <c r="E120" s="58"/>
      <c r="F120" s="58"/>
      <c r="G120" s="58"/>
      <c r="H120" s="58"/>
      <c r="I120" s="58"/>
      <c r="J120" s="58"/>
      <c r="K120" s="58"/>
      <c r="L120" s="59"/>
      <c r="M120" s="60"/>
    </row>
    <row r="121" spans="1:13" ht="18.75" customHeight="1" x14ac:dyDescent="0.25">
      <c r="B121" s="58"/>
      <c r="C121" s="58"/>
      <c r="D121" s="58"/>
      <c r="E121" s="58"/>
      <c r="F121" s="58"/>
      <c r="G121" s="58"/>
      <c r="H121" s="58"/>
      <c r="I121" s="58"/>
      <c r="J121" s="58"/>
      <c r="K121" s="58"/>
      <c r="L121" s="59"/>
      <c r="M121" s="60"/>
    </row>
    <row r="122" spans="1:13" ht="18.75" customHeight="1" x14ac:dyDescent="0.25">
      <c r="B122" s="58"/>
      <c r="C122" s="58"/>
      <c r="D122" s="58"/>
      <c r="E122" s="58"/>
      <c r="F122" s="58"/>
      <c r="G122" s="58"/>
      <c r="H122" s="58"/>
      <c r="I122" s="58"/>
      <c r="J122" s="58"/>
      <c r="K122" s="58"/>
      <c r="L122" s="59"/>
      <c r="M122" s="60"/>
    </row>
    <row r="123" spans="1:13" ht="18.75" customHeight="1" x14ac:dyDescent="0.25">
      <c r="B123" s="58"/>
      <c r="C123" s="58"/>
      <c r="D123" s="58"/>
      <c r="E123" s="58"/>
      <c r="F123" s="58"/>
      <c r="G123" s="58"/>
      <c r="H123" s="58"/>
      <c r="I123" s="58"/>
      <c r="J123" s="58"/>
      <c r="K123" s="58"/>
      <c r="L123" s="59"/>
      <c r="M123" s="60"/>
    </row>
    <row r="124" spans="1:13" ht="30.75" customHeight="1" x14ac:dyDescent="0.25">
      <c r="B124" s="58"/>
      <c r="C124" s="58"/>
      <c r="D124" s="58"/>
      <c r="E124" s="58"/>
      <c r="F124" s="58"/>
      <c r="G124" s="58"/>
      <c r="H124" s="58"/>
      <c r="I124" s="58"/>
      <c r="J124" s="58"/>
      <c r="K124" s="58"/>
      <c r="L124" s="59"/>
      <c r="M124" s="60"/>
    </row>
    <row r="125" spans="1:13" ht="18.75" customHeight="1" x14ac:dyDescent="0.25">
      <c r="B125" s="58"/>
      <c r="C125" s="58"/>
      <c r="D125" s="58"/>
      <c r="E125" s="58"/>
      <c r="F125" s="58"/>
      <c r="G125" s="58"/>
      <c r="H125" s="58"/>
      <c r="I125" s="58"/>
      <c r="J125" s="58"/>
      <c r="K125" s="58"/>
      <c r="L125" s="59"/>
      <c r="M125" s="60"/>
    </row>
    <row r="126" spans="1:13" ht="18.75" customHeight="1" x14ac:dyDescent="0.25">
      <c r="B126" s="58"/>
      <c r="C126" s="58"/>
      <c r="D126" s="58"/>
      <c r="E126" s="58"/>
      <c r="F126" s="58"/>
      <c r="G126" s="58"/>
      <c r="H126" s="58"/>
      <c r="I126" s="58"/>
      <c r="J126" s="58"/>
      <c r="K126" s="58"/>
      <c r="L126" s="59"/>
      <c r="M126" s="60"/>
    </row>
    <row r="127" spans="1:13" ht="18.75" customHeight="1" x14ac:dyDescent="0.25">
      <c r="B127" s="58"/>
      <c r="C127" s="58"/>
      <c r="D127" s="58"/>
      <c r="E127" s="58"/>
      <c r="F127" s="58"/>
      <c r="G127" s="58"/>
      <c r="H127" s="58"/>
      <c r="I127" s="58"/>
      <c r="J127" s="58"/>
      <c r="K127" s="58"/>
      <c r="L127" s="59"/>
      <c r="M127" s="60"/>
    </row>
    <row r="128" spans="1:13" ht="23.25" customHeight="1" x14ac:dyDescent="0.25">
      <c r="B128" s="58"/>
      <c r="C128" s="58"/>
      <c r="D128" s="58"/>
      <c r="E128" s="58"/>
      <c r="F128" s="58"/>
      <c r="G128" s="58"/>
      <c r="H128" s="58"/>
      <c r="I128" s="58"/>
      <c r="J128" s="58"/>
      <c r="K128" s="58"/>
      <c r="L128" s="59"/>
      <c r="M128" s="60"/>
    </row>
    <row r="129" spans="2:13" ht="19.5" customHeight="1" x14ac:dyDescent="0.25">
      <c r="B129" s="58"/>
      <c r="C129" s="58"/>
      <c r="D129" s="58"/>
      <c r="E129" s="58"/>
      <c r="F129" s="58"/>
      <c r="G129" s="58"/>
      <c r="H129" s="58"/>
      <c r="I129" s="58"/>
      <c r="J129" s="58"/>
      <c r="K129" s="58"/>
      <c r="L129" s="59"/>
      <c r="M129" s="60"/>
    </row>
    <row r="130" spans="2:13" ht="15" x14ac:dyDescent="0.25">
      <c r="B130" s="58"/>
      <c r="C130" s="58"/>
      <c r="D130" s="58"/>
      <c r="E130" s="58"/>
      <c r="F130" s="58"/>
      <c r="G130" s="58"/>
      <c r="H130" s="58"/>
      <c r="I130" s="58"/>
      <c r="J130" s="58"/>
      <c r="K130" s="58"/>
      <c r="L130" s="59"/>
      <c r="M130" s="60"/>
    </row>
    <row r="131" spans="2:13" ht="15" x14ac:dyDescent="0.25">
      <c r="B131" s="58"/>
      <c r="C131" s="58"/>
      <c r="D131" s="58"/>
      <c r="E131" s="58"/>
      <c r="F131" s="58"/>
      <c r="G131" s="58"/>
      <c r="H131" s="58"/>
      <c r="I131" s="58"/>
      <c r="J131" s="58"/>
      <c r="K131" s="58"/>
      <c r="L131" s="59"/>
      <c r="M131" s="60"/>
    </row>
    <row r="132" spans="2:13" ht="15" x14ac:dyDescent="0.25">
      <c r="B132" s="58"/>
      <c r="C132" s="58"/>
      <c r="D132" s="58"/>
      <c r="E132" s="58"/>
      <c r="F132" s="58"/>
      <c r="G132" s="58"/>
      <c r="H132" s="58"/>
      <c r="I132" s="58"/>
      <c r="J132" s="58"/>
      <c r="K132" s="58"/>
      <c r="L132" s="59"/>
      <c r="M132" s="60"/>
    </row>
    <row r="133" spans="2:13" ht="15" x14ac:dyDescent="0.25">
      <c r="B133" s="58"/>
      <c r="C133" s="58"/>
      <c r="D133" s="58"/>
      <c r="E133" s="58"/>
      <c r="F133" s="58"/>
      <c r="G133" s="58"/>
      <c r="H133" s="58"/>
      <c r="I133" s="58"/>
      <c r="J133" s="58"/>
      <c r="K133" s="58"/>
      <c r="L133" s="59"/>
      <c r="M133" s="60"/>
    </row>
    <row r="134" spans="2:13" ht="15" x14ac:dyDescent="0.25">
      <c r="B134" s="58"/>
      <c r="C134" s="58"/>
      <c r="D134" s="58"/>
      <c r="E134" s="58"/>
      <c r="F134" s="58"/>
      <c r="G134" s="58"/>
      <c r="H134" s="58"/>
      <c r="I134" s="58"/>
      <c r="J134" s="58"/>
      <c r="K134" s="58"/>
      <c r="L134" s="59"/>
      <c r="M134" s="60"/>
    </row>
    <row r="135" spans="2:13" ht="15" x14ac:dyDescent="0.25">
      <c r="B135" s="58"/>
      <c r="C135" s="58"/>
      <c r="D135" s="58"/>
      <c r="E135" s="58"/>
      <c r="F135" s="58"/>
      <c r="G135" s="58"/>
      <c r="H135" s="58"/>
      <c r="I135" s="58"/>
      <c r="J135" s="58"/>
      <c r="K135" s="58"/>
      <c r="L135" s="59"/>
      <c r="M135" s="60"/>
    </row>
    <row r="136" spans="2:13" ht="15" x14ac:dyDescent="0.25">
      <c r="B136" s="58"/>
      <c r="C136" s="58"/>
      <c r="D136" s="58"/>
      <c r="E136" s="58"/>
      <c r="F136" s="58"/>
      <c r="G136" s="58"/>
      <c r="H136" s="58"/>
      <c r="I136" s="58"/>
      <c r="J136" s="58"/>
      <c r="K136" s="58"/>
      <c r="L136" s="59"/>
      <c r="M136" s="60"/>
    </row>
    <row r="137" spans="2:13" ht="15" x14ac:dyDescent="0.25">
      <c r="B137" s="58"/>
      <c r="C137" s="58"/>
      <c r="D137" s="58"/>
      <c r="E137" s="58"/>
      <c r="F137" s="58"/>
      <c r="G137" s="58"/>
      <c r="H137" s="58"/>
      <c r="I137" s="58"/>
      <c r="J137" s="58"/>
      <c r="K137" s="58"/>
      <c r="L137" s="59"/>
      <c r="M137" s="60"/>
    </row>
    <row r="138" spans="2:13" ht="15" x14ac:dyDescent="0.25">
      <c r="B138" s="58"/>
      <c r="C138" s="58"/>
      <c r="D138" s="58"/>
      <c r="E138" s="58"/>
      <c r="F138" s="58"/>
      <c r="G138" s="58"/>
      <c r="H138" s="58"/>
      <c r="I138" s="58"/>
      <c r="J138" s="58"/>
      <c r="K138" s="58"/>
      <c r="L138" s="59"/>
      <c r="M138" s="60"/>
    </row>
    <row r="139" spans="2:13" ht="15" x14ac:dyDescent="0.25">
      <c r="B139" s="58"/>
      <c r="C139" s="58"/>
      <c r="D139" s="58"/>
      <c r="E139" s="58"/>
      <c r="F139" s="58"/>
      <c r="G139" s="58"/>
      <c r="H139" s="58"/>
      <c r="I139" s="58"/>
      <c r="J139" s="58"/>
      <c r="K139" s="58"/>
      <c r="L139" s="59"/>
      <c r="M139" s="60"/>
    </row>
    <row r="140" spans="2:13" ht="15" x14ac:dyDescent="0.25">
      <c r="B140" s="58"/>
      <c r="C140" s="58"/>
      <c r="D140" s="58"/>
      <c r="E140" s="58"/>
      <c r="F140" s="58"/>
      <c r="G140" s="58"/>
      <c r="H140" s="58"/>
      <c r="I140" s="58"/>
      <c r="J140" s="58"/>
      <c r="K140" s="58"/>
      <c r="L140" s="59"/>
      <c r="M140" s="60"/>
    </row>
    <row r="141" spans="2:13" ht="15" x14ac:dyDescent="0.25">
      <c r="B141" s="58"/>
      <c r="C141" s="58"/>
      <c r="D141" s="58"/>
      <c r="E141" s="58"/>
      <c r="F141" s="58"/>
      <c r="G141" s="58"/>
      <c r="H141" s="58"/>
      <c r="I141" s="58"/>
      <c r="J141" s="58"/>
      <c r="K141" s="58"/>
      <c r="L141" s="59"/>
      <c r="M141" s="60"/>
    </row>
  </sheetData>
  <mergeCells count="205">
    <mergeCell ref="D66:I66"/>
    <mergeCell ref="D103:F103"/>
    <mergeCell ref="G103:H103"/>
    <mergeCell ref="D104:I108"/>
    <mergeCell ref="J104:J108"/>
    <mergeCell ref="K104:K108"/>
    <mergeCell ref="L104:L108"/>
    <mergeCell ref="M113:M115"/>
    <mergeCell ref="D116:I116"/>
    <mergeCell ref="M96:M101"/>
    <mergeCell ref="M102:M103"/>
    <mergeCell ref="M104:M108"/>
    <mergeCell ref="J109:J112"/>
    <mergeCell ref="D110:I110"/>
    <mergeCell ref="D111:I111"/>
    <mergeCell ref="D112:I112"/>
    <mergeCell ref="J91:J95"/>
    <mergeCell ref="L81:L89"/>
    <mergeCell ref="M81:M89"/>
    <mergeCell ref="E82:F82"/>
    <mergeCell ref="G82:H82"/>
    <mergeCell ref="E83:F83"/>
    <mergeCell ref="G83:H83"/>
    <mergeCell ref="K83:K89"/>
    <mergeCell ref="A96:A117"/>
    <mergeCell ref="B96:B101"/>
    <mergeCell ref="C96:C101"/>
    <mergeCell ref="D96:I101"/>
    <mergeCell ref="J96:J101"/>
    <mergeCell ref="K96:K101"/>
    <mergeCell ref="L96:L101"/>
    <mergeCell ref="B102:B108"/>
    <mergeCell ref="C102:C108"/>
    <mergeCell ref="D102:F102"/>
    <mergeCell ref="G102:H102"/>
    <mergeCell ref="I102:I103"/>
    <mergeCell ref="J102:J103"/>
    <mergeCell ref="K102:K103"/>
    <mergeCell ref="L102:L103"/>
    <mergeCell ref="B109:B112"/>
    <mergeCell ref="D109:I109"/>
    <mergeCell ref="L91:L95"/>
    <mergeCell ref="M91:M95"/>
    <mergeCell ref="J79:J80"/>
    <mergeCell ref="K79:K80"/>
    <mergeCell ref="L79:L80"/>
    <mergeCell ref="M79:M80"/>
    <mergeCell ref="B117:K117"/>
    <mergeCell ref="B113:B115"/>
    <mergeCell ref="C113:C115"/>
    <mergeCell ref="D113:I115"/>
    <mergeCell ref="J113:J115"/>
    <mergeCell ref="K113:K115"/>
    <mergeCell ref="L113:L115"/>
    <mergeCell ref="B81:B89"/>
    <mergeCell ref="C81:C89"/>
    <mergeCell ref="E81:F81"/>
    <mergeCell ref="G81:H81"/>
    <mergeCell ref="J81:J89"/>
    <mergeCell ref="K81:K82"/>
    <mergeCell ref="D89:H89"/>
    <mergeCell ref="K91:K95"/>
    <mergeCell ref="A79:A95"/>
    <mergeCell ref="B79:C80"/>
    <mergeCell ref="D79:D80"/>
    <mergeCell ref="E79:F80"/>
    <mergeCell ref="G79:H80"/>
    <mergeCell ref="I79:I80"/>
    <mergeCell ref="G85:H85"/>
    <mergeCell ref="D86:I86"/>
    <mergeCell ref="I87:I89"/>
    <mergeCell ref="D90:H90"/>
    <mergeCell ref="B91:B95"/>
    <mergeCell ref="C91:C95"/>
    <mergeCell ref="D91:I95"/>
    <mergeCell ref="E84:F84"/>
    <mergeCell ref="G84:H84"/>
    <mergeCell ref="E85:F85"/>
    <mergeCell ref="B73:B78"/>
    <mergeCell ref="C73:C78"/>
    <mergeCell ref="D73:F73"/>
    <mergeCell ref="G73:H73"/>
    <mergeCell ref="I73:I74"/>
    <mergeCell ref="J73:J78"/>
    <mergeCell ref="K73:K78"/>
    <mergeCell ref="L73:L78"/>
    <mergeCell ref="M73:M78"/>
    <mergeCell ref="D75:I78"/>
    <mergeCell ref="J67:J68"/>
    <mergeCell ref="K67:K68"/>
    <mergeCell ref="L67:L68"/>
    <mergeCell ref="M67:M68"/>
    <mergeCell ref="B69:B72"/>
    <mergeCell ref="C69:C72"/>
    <mergeCell ref="D69:I72"/>
    <mergeCell ref="J69:J72"/>
    <mergeCell ref="K69:K72"/>
    <mergeCell ref="L69:L72"/>
    <mergeCell ref="M69:M72"/>
    <mergeCell ref="I60:I61"/>
    <mergeCell ref="J60:J61"/>
    <mergeCell ref="K60:K61"/>
    <mergeCell ref="L60:L61"/>
    <mergeCell ref="M60:M61"/>
    <mergeCell ref="D61:F61"/>
    <mergeCell ref="G61:H61"/>
    <mergeCell ref="D62:I65"/>
    <mergeCell ref="J62:J65"/>
    <mergeCell ref="K62:K65"/>
    <mergeCell ref="L62:L65"/>
    <mergeCell ref="M62:M65"/>
    <mergeCell ref="J53:J54"/>
    <mergeCell ref="K53:K54"/>
    <mergeCell ref="L53:L54"/>
    <mergeCell ref="M53:M54"/>
    <mergeCell ref="D54:F54"/>
    <mergeCell ref="G54:H54"/>
    <mergeCell ref="A53:A78"/>
    <mergeCell ref="B53:B59"/>
    <mergeCell ref="C53:C59"/>
    <mergeCell ref="D53:F53"/>
    <mergeCell ref="G53:H53"/>
    <mergeCell ref="I53:I54"/>
    <mergeCell ref="D55:I59"/>
    <mergeCell ref="D67:I68"/>
    <mergeCell ref="D74:F74"/>
    <mergeCell ref="G74:H74"/>
    <mergeCell ref="J55:J59"/>
    <mergeCell ref="K55:K59"/>
    <mergeCell ref="L55:L59"/>
    <mergeCell ref="M55:M59"/>
    <mergeCell ref="B60:B68"/>
    <mergeCell ref="C60:C68"/>
    <mergeCell ref="D60:F60"/>
    <mergeCell ref="G60:H60"/>
    <mergeCell ref="K46:K47"/>
    <mergeCell ref="L46:L47"/>
    <mergeCell ref="M46:M47"/>
    <mergeCell ref="D47:F47"/>
    <mergeCell ref="G47:H47"/>
    <mergeCell ref="D48:I50"/>
    <mergeCell ref="J48:J50"/>
    <mergeCell ref="K48:K50"/>
    <mergeCell ref="L48:L50"/>
    <mergeCell ref="M48:M50"/>
    <mergeCell ref="B46:B52"/>
    <mergeCell ref="C46:C52"/>
    <mergeCell ref="D46:F46"/>
    <mergeCell ref="G46:H46"/>
    <mergeCell ref="I46:I47"/>
    <mergeCell ref="J46:J47"/>
    <mergeCell ref="D52:I52"/>
    <mergeCell ref="D41:I41"/>
    <mergeCell ref="I42:I43"/>
    <mergeCell ref="E43:F43"/>
    <mergeCell ref="G43:H43"/>
    <mergeCell ref="D44:I44"/>
    <mergeCell ref="D45:G45"/>
    <mergeCell ref="H45:I45"/>
    <mergeCell ref="D51:I51"/>
    <mergeCell ref="M31:M44"/>
    <mergeCell ref="E33:F33"/>
    <mergeCell ref="G33:H33"/>
    <mergeCell ref="E34:F34"/>
    <mergeCell ref="G34:H34"/>
    <mergeCell ref="E35:F35"/>
    <mergeCell ref="G35:H35"/>
    <mergeCell ref="K35:K44"/>
    <mergeCell ref="E36:F36"/>
    <mergeCell ref="G36:H36"/>
    <mergeCell ref="D31:I32"/>
    <mergeCell ref="J31:J44"/>
    <mergeCell ref="K31:K34"/>
    <mergeCell ref="L31:L44"/>
    <mergeCell ref="E37:F37"/>
    <mergeCell ref="G37:H37"/>
    <mergeCell ref="E38:F38"/>
    <mergeCell ref="G38:H38"/>
    <mergeCell ref="D39:I39"/>
    <mergeCell ref="E40:F40"/>
    <mergeCell ref="G40:H40"/>
    <mergeCell ref="A2:A24"/>
    <mergeCell ref="B2:M2"/>
    <mergeCell ref="B3:M4"/>
    <mergeCell ref="B5:M5"/>
    <mergeCell ref="B6:D6"/>
    <mergeCell ref="E6:M24"/>
    <mergeCell ref="C16:D16"/>
    <mergeCell ref="B18:D24"/>
    <mergeCell ref="A26:A52"/>
    <mergeCell ref="B26:C27"/>
    <mergeCell ref="D26:I27"/>
    <mergeCell ref="J26:M26"/>
    <mergeCell ref="B28:M28"/>
    <mergeCell ref="B29:C30"/>
    <mergeCell ref="D29:D30"/>
    <mergeCell ref="E29:F30"/>
    <mergeCell ref="G29:H30"/>
    <mergeCell ref="I29:I30"/>
    <mergeCell ref="J29:J30"/>
    <mergeCell ref="K29:K30"/>
    <mergeCell ref="L29:L30"/>
    <mergeCell ref="M29:M30"/>
    <mergeCell ref="B31:B44"/>
    <mergeCell ref="C31:C44"/>
  </mergeCells>
  <printOptions horizontalCentered="1"/>
  <pageMargins left="0" right="0" top="1" bottom="0.5" header="0.5" footer="0.5"/>
  <pageSetup scale="51" fitToHeight="5" orientation="landscape"/>
  <headerFooter alignWithMargins="0">
    <oddHeader xml:space="preserve">&amp;C&amp;"Arial,Bold"&amp;14EVERSOURCE CT ELECTRIC - 2024 PERFORMANCE INCENTIVE
&amp;"Arial,Regular"&amp;11(Some Monetary Values in Thousands of Dollars) &amp;"Arial,Bold"&amp;14
</oddHeader>
    <oddFooter xml:space="preserve">&amp;CTotals may vary due to rounding
</oddFooter>
  </headerFooter>
  <rowBreaks count="4" manualBreakCount="4">
    <brk id="25" min="1" max="12" man="1"/>
    <brk id="52" min="1" max="12" man="1"/>
    <brk id="78" max="16383" man="1"/>
    <brk id="101" min="1" max="12"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88</vt:i4>
      </vt:variant>
    </vt:vector>
  </HeadingPairs>
  <TitlesOfParts>
    <vt:vector size="130" baseType="lpstr">
      <vt:lpstr> 2022 - 2024 Combined Table A1</vt:lpstr>
      <vt:lpstr>2021 Joint Table A1 Pies</vt:lpstr>
      <vt:lpstr>2022 Joint Table A1 Pies </vt:lpstr>
      <vt:lpstr>2022 New Joint Table A1</vt:lpstr>
      <vt:lpstr>2023 Joint Table A1 Pies</vt:lpstr>
      <vt:lpstr>2023 New Joint Table A1</vt:lpstr>
      <vt:lpstr>2024 Joint Table A1 Pies </vt:lpstr>
      <vt:lpstr>2024 New Joint Table A1</vt:lpstr>
      <vt:lpstr>2022-2025 Comb Revenues</vt:lpstr>
      <vt:lpstr> 2021 - 2024 Comb Revenues A2</vt:lpstr>
      <vt:lpstr>ES CT Electric Table A  </vt:lpstr>
      <vt:lpstr>Table A Pie Sector Alloc2022-25</vt:lpstr>
      <vt:lpstr>ES CT Electric 2021 Table A Pie</vt:lpstr>
      <vt:lpstr>ES CT Electric 2022 Table A Pie</vt:lpstr>
      <vt:lpstr>ES CT Electric 2023 Table A Pie</vt:lpstr>
      <vt:lpstr>ES CT Electric 2023 Table A-R</vt:lpstr>
      <vt:lpstr>ES CT Electric 2024 Table A Pie</vt:lpstr>
      <vt:lpstr>ES CT Electric Table C 2021</vt:lpstr>
      <vt:lpstr>ES CT Electric 2021 Table C Pie</vt:lpstr>
      <vt:lpstr>ES CT Electric 2024 Table A-R</vt:lpstr>
      <vt:lpstr>ES CT Electric 2022 Table C </vt:lpstr>
      <vt:lpstr>ES CT Electric 2022 Table C Pie</vt:lpstr>
      <vt:lpstr>ES CT Electric 2023 Table C </vt:lpstr>
      <vt:lpstr>ES CT Electric 2023 Table C Pie</vt:lpstr>
      <vt:lpstr>ES CT Electric 2024 Table C </vt:lpstr>
      <vt:lpstr>ES CT Electric 2024 Table C Pie</vt:lpstr>
      <vt:lpstr>2014-25 ES CT E Table D-$</vt:lpstr>
      <vt:lpstr>2014-24 ES CT E Table D1-kW</vt:lpstr>
      <vt:lpstr>2014-25 ESCTETable D2-annualkWh</vt:lpstr>
      <vt:lpstr>2014-24 ESCTETable D3-lftimekWh</vt:lpstr>
      <vt:lpstr>2014-24 Table D4 Units </vt:lpstr>
      <vt:lpstr>2014-25 ES CT E Table D5-kW</vt:lpstr>
      <vt:lpstr>2014-24 ESCTETable D6-annualkWh</vt:lpstr>
      <vt:lpstr>2014-24 ESCTETable D7-lftimekWh</vt:lpstr>
      <vt:lpstr>2019-24 ESCTETableD8AnnMMBTU</vt:lpstr>
      <vt:lpstr>2019-24 ESCTETableD9LifMMBTU</vt:lpstr>
      <vt:lpstr>2021 ES CT PMI</vt:lpstr>
      <vt:lpstr>2022 ES CT PMI</vt:lpstr>
      <vt:lpstr>2023 ES CT PMI</vt:lpstr>
      <vt:lpstr>2024 ES CT PMI</vt:lpstr>
      <vt:lpstr>2023 ES CT PMI  Old</vt:lpstr>
      <vt:lpstr>2024 ES CT PMI Old</vt:lpstr>
      <vt:lpstr>' 2021 - 2024 Comb Revenues A2'!Print_Area</vt:lpstr>
      <vt:lpstr>' 2022 - 2024 Combined Table A1'!Print_Area</vt:lpstr>
      <vt:lpstr>'2014-24 ES CT E Table D1-kW'!Print_Area</vt:lpstr>
      <vt:lpstr>'2014-24 ESCTETable D3-lftimekWh'!Print_Area</vt:lpstr>
      <vt:lpstr>'2014-24 ESCTETable D6-annualkWh'!Print_Area</vt:lpstr>
      <vt:lpstr>'2014-24 ESCTETable D7-lftimekWh'!Print_Area</vt:lpstr>
      <vt:lpstr>'2014-24 Table D4 Units '!Print_Area</vt:lpstr>
      <vt:lpstr>'2014-25 ES CT E Table D-$'!Print_Area</vt:lpstr>
      <vt:lpstr>'2014-25 ES CT E Table D5-kW'!Print_Area</vt:lpstr>
      <vt:lpstr>'2014-25 ESCTETable D2-annualkWh'!Print_Area</vt:lpstr>
      <vt:lpstr>'2019-24 ESCTETableD8AnnMMBTU'!Print_Area</vt:lpstr>
      <vt:lpstr>'2019-24 ESCTETableD9LifMMBTU'!Print_Area</vt:lpstr>
      <vt:lpstr>'2021 ES CT PMI'!Print_Area</vt:lpstr>
      <vt:lpstr>'2021 Joint Table A1 Pies'!Print_Area</vt:lpstr>
      <vt:lpstr>'2022 ES CT PMI'!Print_Area</vt:lpstr>
      <vt:lpstr>'2022 Joint Table A1 Pies '!Print_Area</vt:lpstr>
      <vt:lpstr>'2022-2025 Comb Revenues'!Print_Area</vt:lpstr>
      <vt:lpstr>'2023 ES CT PMI'!Print_Area</vt:lpstr>
      <vt:lpstr>'2023 ES CT PMI  Old'!Print_Area</vt:lpstr>
      <vt:lpstr>'2023 Joint Table A1 Pies'!Print_Area</vt:lpstr>
      <vt:lpstr>'2024 ES CT PMI'!Print_Area</vt:lpstr>
      <vt:lpstr>'2024 ES CT PMI Old'!Print_Area</vt:lpstr>
      <vt:lpstr>'2024 Joint Table A1 Pies '!Print_Area</vt:lpstr>
      <vt:lpstr>'ES CT Electric 2021 Table A Pie'!Print_Area</vt:lpstr>
      <vt:lpstr>'ES CT Electric 2021 Table C Pie'!Print_Area</vt:lpstr>
      <vt:lpstr>'ES CT Electric 2022 Table A Pie'!Print_Area</vt:lpstr>
      <vt:lpstr>'ES CT Electric 2022 Table C '!Print_Area</vt:lpstr>
      <vt:lpstr>'ES CT Electric 2022 Table C Pie'!Print_Area</vt:lpstr>
      <vt:lpstr>'ES CT Electric 2023 Table A Pie'!Print_Area</vt:lpstr>
      <vt:lpstr>'ES CT Electric 2023 Table A-R'!Print_Area</vt:lpstr>
      <vt:lpstr>'ES CT Electric 2023 Table C '!Print_Area</vt:lpstr>
      <vt:lpstr>'ES CT Electric 2023 Table C Pie'!Print_Area</vt:lpstr>
      <vt:lpstr>'ES CT Electric 2024 Table A Pie'!Print_Area</vt:lpstr>
      <vt:lpstr>'ES CT Electric 2024 Table A-R'!Print_Area</vt:lpstr>
      <vt:lpstr>'ES CT Electric 2024 Table C '!Print_Area</vt:lpstr>
      <vt:lpstr>'ES CT Electric 2024 Table C Pie'!Print_Area</vt:lpstr>
      <vt:lpstr>'ES CT Electric Table A  '!Print_Area</vt:lpstr>
      <vt:lpstr>'ES CT Electric Table C 2021'!Print_Area</vt:lpstr>
      <vt:lpstr>'Table A Pie Sector Alloc2022-25'!Print_Area</vt:lpstr>
      <vt:lpstr>'2021 ES CT PMI'!Print_Titles</vt:lpstr>
      <vt:lpstr>'2022 ES CT PMI'!Print_Titles</vt:lpstr>
      <vt:lpstr>'2023 ES CT PMI'!Print_Titles</vt:lpstr>
      <vt:lpstr>'2023 ES CT PMI  Old'!Print_Titles</vt:lpstr>
      <vt:lpstr>'2024 ES CT PMI'!Print_Titles</vt:lpstr>
      <vt:lpstr>'2024 ES CT PMI Old'!Print_Titles</vt:lpstr>
      <vt:lpstr>'ES CT Electric Table A  '!Print_Titles</vt:lpstr>
      <vt:lpstr>' 2021 - 2024 Comb Revenues A2'!tableA1CLP2005</vt:lpstr>
      <vt:lpstr>'2022-2025 Comb Revenues'!tableA1CLP2005</vt:lpstr>
      <vt:lpstr>' 2022 - 2024 Combined Table A1'!tableA1type_of_service</vt:lpstr>
      <vt:lpstr>' 2021 - 2024 Comb Revenues A2'!tableA1UI2005</vt:lpstr>
      <vt:lpstr>'2022-2025 Comb Revenues'!tableA1UI2005</vt:lpstr>
      <vt:lpstr>'ES CT Electric Table A  '!tableAtype_of_service</vt:lpstr>
      <vt:lpstr>'ES CT Electric 2022 Table C '!tableCadmin_expences</vt:lpstr>
      <vt:lpstr>'ES CT Electric 2023 Table C '!tableCadmin_expences</vt:lpstr>
      <vt:lpstr>'ES CT Electric 2024 Table C '!tableCadmin_expences</vt:lpstr>
      <vt:lpstr>'ES CT Electric Table C 2021'!tableCadmin_expences</vt:lpstr>
      <vt:lpstr>'ES CT Electric 2022 Table C '!tableCCLP_labor</vt:lpstr>
      <vt:lpstr>'ES CT Electric 2023 Table C '!tableCCLP_labor</vt:lpstr>
      <vt:lpstr>'ES CT Electric 2024 Table C '!tableCCLP_labor</vt:lpstr>
      <vt:lpstr>'ES CT Electric Table C 2021'!tableCCLP_labor</vt:lpstr>
      <vt:lpstr>'ES CT Electric 2022 Table C '!tableCincentives</vt:lpstr>
      <vt:lpstr>'ES CT Electric 2023 Table C '!tableCincentives</vt:lpstr>
      <vt:lpstr>'ES CT Electric 2024 Table C '!tableCincentives</vt:lpstr>
      <vt:lpstr>'ES CT Electric Table C 2021'!tableCincentives</vt:lpstr>
      <vt:lpstr>'ES CT Electric 2022 Table C '!tableCmarketing</vt:lpstr>
      <vt:lpstr>'ES CT Electric 2023 Table C '!tableCmarketing</vt:lpstr>
      <vt:lpstr>'ES CT Electric 2024 Table C '!tableCmarketing</vt:lpstr>
      <vt:lpstr>'ES CT Electric Table C 2021'!tableCmarketing</vt:lpstr>
      <vt:lpstr>'ES CT Electric 2022 Table C '!tableCmaterial_supplies</vt:lpstr>
      <vt:lpstr>'ES CT Electric 2023 Table C '!tableCmaterial_supplies</vt:lpstr>
      <vt:lpstr>'ES CT Electric 2024 Table C '!tableCmaterial_supplies</vt:lpstr>
      <vt:lpstr>'ES CT Electric Table C 2021'!tableCmaterial_supplies</vt:lpstr>
      <vt:lpstr>'ES CT Electric 2022 Table C '!tableCother</vt:lpstr>
      <vt:lpstr>'ES CT Electric 2023 Table C '!tableCother</vt:lpstr>
      <vt:lpstr>'ES CT Electric 2024 Table C '!tableCother</vt:lpstr>
      <vt:lpstr>'ES CT Electric Table C 2021'!tableCother</vt:lpstr>
      <vt:lpstr>'ES CT Electric 2022 Table C '!tableCother_labor</vt:lpstr>
      <vt:lpstr>'ES CT Electric 2023 Table C '!tableCother_labor</vt:lpstr>
      <vt:lpstr>'ES CT Electric 2024 Table C '!tableCother_labor</vt:lpstr>
      <vt:lpstr>'ES CT Electric Table C 2021'!tableCother_labor</vt:lpstr>
      <vt:lpstr>'ES CT Electric 2022 Table C '!tableCoutside_services</vt:lpstr>
      <vt:lpstr>'ES CT Electric 2023 Table C '!tableCoutside_services</vt:lpstr>
      <vt:lpstr>'ES CT Electric 2024 Table C '!tableCoutside_services</vt:lpstr>
      <vt:lpstr>'ES CT Electric Table C 2021'!tableCoutside_services</vt:lpstr>
      <vt:lpstr>'ES CT Electric 2022 Table C '!tableCtype_of_service</vt:lpstr>
      <vt:lpstr>'ES CT Electric 2023 Table C '!tableCtype_of_service</vt:lpstr>
      <vt:lpstr>'ES CT Electric 2024 Table C '!tableCtype_of_service</vt:lpstr>
      <vt:lpstr>'ES CT Electric Table C 2021'!tableCtype_of_service</vt:lpstr>
    </vt:vector>
  </TitlesOfParts>
  <Company>Northeast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Northeast Utilities</dc:creator>
  <cp:lastModifiedBy>Karlyn S Lempa</cp:lastModifiedBy>
  <cp:lastPrinted>2022-06-27T10:54:27Z</cp:lastPrinted>
  <dcterms:created xsi:type="dcterms:W3CDTF">2000-08-15T12:33:24Z</dcterms:created>
  <dcterms:modified xsi:type="dcterms:W3CDTF">2022-10-07T14:50:42Z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