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5.xml" ContentType="application/vnd.openxmlformats-officedocument.drawing+xml"/>
  <Override PartName="/xl/charts/chart9.xml" ContentType="application/vnd.openxmlformats-officedocument.drawingml.chart+xml"/>
  <Override PartName="/xl/drawings/drawing6.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xml"/>
  <Override PartName="/xl/charts/chart14.xml" ContentType="application/vnd.openxmlformats-officedocument.drawingml.chart+xml"/>
  <Override PartName="/xl/drawings/drawing8.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drawings/drawing9.xml" ContentType="application/vnd.openxmlformats-officedocument.drawing+xml"/>
  <Override PartName="/xl/charts/chart19.xml" ContentType="application/vnd.openxmlformats-officedocument.drawingml.chart+xml"/>
  <Override PartName="/xl/drawings/drawing10.xml" ContentType="application/vnd.openxmlformats-officedocument.drawing+xml"/>
  <Override PartName="/xl/charts/chart20.xml" ContentType="application/vnd.openxmlformats-officedocument.drawingml.chart+xml"/>
  <Override PartName="/xl/drawings/drawing11.xml" ContentType="application/vnd.openxmlformats-officedocument.drawing+xml"/>
  <Override PartName="/xl/charts/chart21.xml" ContentType="application/vnd.openxmlformats-officedocument.drawingml.chart+xml"/>
  <Override PartName="/xl/drawings/drawing12.xml" ContentType="application/vnd.openxmlformats-officedocument.drawing+xml"/>
  <Override PartName="/xl/charts/chart22.xml" ContentType="application/vnd.openxmlformats-officedocument.drawingml.chart+xml"/>
  <Override PartName="/xl/drawings/drawing13.xml" ContentType="application/vnd.openxmlformats-officedocument.drawing+xml"/>
  <Override PartName="/xl/charts/chart23.xml" ContentType="application/vnd.openxmlformats-officedocument.drawingml.chart+xml"/>
  <Override PartName="/xl/drawings/drawing14.xml" ContentType="application/vnd.openxmlformats-officedocument.drawing+xml"/>
  <Override PartName="/xl/charts/chart24.xml" ContentType="application/vnd.openxmlformats-officedocument.drawingml.chart+xml"/>
  <Override PartName="/xl/drawings/drawing15.xml" ContentType="application/vnd.openxmlformats-officedocument.drawing+xml"/>
  <Override PartName="/xl/charts/chart25.xml" ContentType="application/vnd.openxmlformats-officedocument.drawingml.chart+xml"/>
  <Override PartName="/xl/drawings/drawing16.xml" ContentType="application/vnd.openxmlformats-officedocument.drawing+xml"/>
  <Override PartName="/xl/charts/chart26.xml" ContentType="application/vnd.openxmlformats-officedocument.drawingml.chart+xml"/>
  <Override PartName="/xl/drawings/drawing17.xml" ContentType="application/vnd.openxmlformats-officedocument.drawing+xml"/>
  <Override PartName="/xl/charts/chart27.xml" ContentType="application/vnd.openxmlformats-officedocument.drawingml.chart+xml"/>
  <Override PartName="/xl/drawings/drawing18.xml" ContentType="application/vnd.openxmlformats-officedocument.drawing+xml"/>
  <Override PartName="/xl/charts/chart28.xml" ContentType="application/vnd.openxmlformats-officedocument.drawingml.chart+xml"/>
  <Override PartName="/xl/drawings/drawing19.xml" ContentType="application/vnd.openxmlformats-officedocument.drawing+xml"/>
  <Override PartName="/xl/charts/chart29.xml" ContentType="application/vnd.openxmlformats-officedocument.drawingml.chart+xml"/>
  <Override PartName="/xl/drawings/drawing20.xml" ContentType="application/vnd.openxmlformats-officedocument.drawing+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24226"/>
  <mc:AlternateContent xmlns:mc="http://schemas.openxmlformats.org/markup-compatibility/2006">
    <mc:Choice Requires="x15">
      <x15ac:absPath xmlns:x15ac="http://schemas.microsoft.com/office/spreadsheetml/2010/11/ac" url="\\Nu.Com\Data\DepartmentData\UG-C&amp;LM\Deptdata\MPR\MKTPLAN\2023 eafc\Gas Plan\"/>
    </mc:Choice>
  </mc:AlternateContent>
  <xr:revisionPtr revIDLastSave="0" documentId="13_ncr:1_{28490BBE-5A2B-40E8-8713-035599E59F87}" xr6:coauthVersionLast="46" xr6:coauthVersionMax="47" xr10:uidLastSave="{00000000-0000-0000-0000-000000000000}"/>
  <bookViews>
    <workbookView xWindow="-120" yWindow="-120" windowWidth="29040" windowHeight="15840" tabRatio="709" firstSheet="28" activeTab="33" xr2:uid="{00000000-000D-0000-FFFF-FFFF00000000}"/>
  </bookViews>
  <sheets>
    <sheet name="2022 - 2024 Combined Table A1" sheetId="44" r:id="rId1"/>
    <sheet name="2021 Joint Table A1 Pies" sheetId="61" state="hidden" r:id="rId2"/>
    <sheet name="2022 Joint Table A1 Pies" sheetId="72" state="hidden" r:id="rId3"/>
    <sheet name="2022 Joint Table A1 Pies - Gas" sheetId="78" state="hidden" r:id="rId4"/>
    <sheet name="2022 New Joint Table A1 Pies" sheetId="80" r:id="rId5"/>
    <sheet name="2023 Joint Table A1 Pies" sheetId="73" state="hidden" r:id="rId6"/>
    <sheet name="2023 New Joint Table A1 Pies" sheetId="82" r:id="rId7"/>
    <sheet name="2024 Joint Table A1 Pies " sheetId="74" state="hidden" r:id="rId8"/>
    <sheet name="2024 New Joint Table A1 Pies" sheetId="81" r:id="rId9"/>
    <sheet name="2022-2025 Comb Revenues A2-Rev" sheetId="79" r:id="rId10"/>
    <sheet name="2020 - 2023 Comb Revenues A2" sheetId="45" state="hidden" r:id="rId11"/>
    <sheet name="ES CT Gas Table A" sheetId="3" r:id="rId12"/>
    <sheet name="Table A Pie Sector Alloc2022-24" sheetId="62" r:id="rId13"/>
    <sheet name="ES CT Gas 2021 Table A Pie" sheetId="55" state="hidden" r:id="rId14"/>
    <sheet name="ES CT Gas 2022 Table A Pie" sheetId="63" r:id="rId15"/>
    <sheet name="ES CT Gas 2023 Table A Pie" sheetId="64" r:id="rId16"/>
    <sheet name="ES CT Gas 2024 Table A Pie" sheetId="65" r:id="rId17"/>
    <sheet name="ES CT Gas 2021 Table C " sheetId="51" state="hidden" r:id="rId18"/>
    <sheet name="ES CT Gas 2021 Table C Pie" sheetId="57" state="hidden" r:id="rId19"/>
    <sheet name="ES CT Gas 2022 Table C  " sheetId="66" r:id="rId20"/>
    <sheet name="ES CT Gas 2022 Table C Pie " sheetId="67" r:id="rId21"/>
    <sheet name="ES CT Gas 2023 Table C " sheetId="68" r:id="rId22"/>
    <sheet name="ES CT Gas 2023 Table C Pie" sheetId="69" r:id="rId23"/>
    <sheet name="ES CT Gas 2024 Table C  " sheetId="70" r:id="rId24"/>
    <sheet name="ES CT Gas 2024 Table C Pie " sheetId="71" r:id="rId25"/>
    <sheet name="2014-25 ES CT G Table D-Proj $" sheetId="13" r:id="rId26"/>
    <sheet name="2014-24 ES CT G Table D1 AnnCCF" sheetId="14" r:id="rId27"/>
    <sheet name="2014-24 ES CT G Table D2LifeCCF" sheetId="28" r:id="rId28"/>
    <sheet name="2014-24 ES CT G Table D3 AnnCCF" sheetId="43" r:id="rId29"/>
    <sheet name="2014-24 ES CT G Table D4LifeCCF" sheetId="42" r:id="rId30"/>
    <sheet name="2014-24 ES CT G Table D5-Units" sheetId="27" r:id="rId31"/>
    <sheet name="2021 ES CT PMI" sheetId="53" state="hidden" r:id="rId32"/>
    <sheet name="2022 ES CT PMI" sheetId="75" r:id="rId33"/>
    <sheet name="2023 ES CT PMI" sheetId="76" r:id="rId34"/>
    <sheet name="2024 ES CT PMI " sheetId="77" r:id="rId35"/>
  </sheets>
  <externalReferences>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s>
  <definedNames>
    <definedName name="a" localSheetId="27">#REF!</definedName>
    <definedName name="a" localSheetId="30">#REF!</definedName>
    <definedName name="a" localSheetId="10">#REF!</definedName>
    <definedName name="a" localSheetId="31">#REF!</definedName>
    <definedName name="a" localSheetId="1">#REF!</definedName>
    <definedName name="a" localSheetId="32">#REF!</definedName>
    <definedName name="a" localSheetId="2">#REF!</definedName>
    <definedName name="a" localSheetId="3">#REF!</definedName>
    <definedName name="a" localSheetId="9">#REF!</definedName>
    <definedName name="a" localSheetId="33">#REF!</definedName>
    <definedName name="a" localSheetId="5">#REF!</definedName>
    <definedName name="a" localSheetId="34">#REF!</definedName>
    <definedName name="a" localSheetId="7">#REF!</definedName>
    <definedName name="a" localSheetId="13">#REF!</definedName>
    <definedName name="a" localSheetId="17">#REF!</definedName>
    <definedName name="a" localSheetId="18">#REF!</definedName>
    <definedName name="a" localSheetId="14">#REF!</definedName>
    <definedName name="a" localSheetId="19">#REF!</definedName>
    <definedName name="a" localSheetId="20">#REF!</definedName>
    <definedName name="a" localSheetId="15">#REF!</definedName>
    <definedName name="a" localSheetId="21">#REF!</definedName>
    <definedName name="a" localSheetId="22">#REF!</definedName>
    <definedName name="a" localSheetId="16">#REF!</definedName>
    <definedName name="a" localSheetId="23">#REF!</definedName>
    <definedName name="a" localSheetId="24">#REF!</definedName>
    <definedName name="a">#REF!</definedName>
    <definedName name="actpm" localSheetId="27">#REF!</definedName>
    <definedName name="actpm" localSheetId="30">#REF!</definedName>
    <definedName name="actpm" localSheetId="10">#REF!</definedName>
    <definedName name="actpm" localSheetId="31">#REF!</definedName>
    <definedName name="actpm" localSheetId="1">#REF!</definedName>
    <definedName name="actpm" localSheetId="0">#REF!</definedName>
    <definedName name="actpm" localSheetId="32">#REF!</definedName>
    <definedName name="actpm" localSheetId="2">#REF!</definedName>
    <definedName name="actpm" localSheetId="3">#REF!</definedName>
    <definedName name="actpm" localSheetId="9">#REF!</definedName>
    <definedName name="actpm" localSheetId="33">#REF!</definedName>
    <definedName name="actpm" localSheetId="5">#REF!</definedName>
    <definedName name="actpm" localSheetId="34">#REF!</definedName>
    <definedName name="actpm" localSheetId="7">#REF!</definedName>
    <definedName name="actpm" localSheetId="13">#REF!</definedName>
    <definedName name="actpm" localSheetId="17">#REF!</definedName>
    <definedName name="actpm" localSheetId="18">#REF!</definedName>
    <definedName name="actpm" localSheetId="14">#REF!</definedName>
    <definedName name="actpm" localSheetId="19">#REF!</definedName>
    <definedName name="actpm" localSheetId="20">#REF!</definedName>
    <definedName name="actpm" localSheetId="15">#REF!</definedName>
    <definedName name="actpm" localSheetId="21">#REF!</definedName>
    <definedName name="actpm" localSheetId="22">#REF!</definedName>
    <definedName name="actpm" localSheetId="16">#REF!</definedName>
    <definedName name="actpm" localSheetId="23">#REF!</definedName>
    <definedName name="actpm" localSheetId="24">#REF!</definedName>
    <definedName name="actpm" localSheetId="12">#REF!</definedName>
    <definedName name="actpm">#REF!</definedName>
    <definedName name="add_funds_2004" localSheetId="27">#REF!</definedName>
    <definedName name="add_funds_2004" localSheetId="30">#REF!</definedName>
    <definedName name="add_funds_2004" localSheetId="10">#REF!</definedName>
    <definedName name="add_funds_2004" localSheetId="31">#REF!</definedName>
    <definedName name="add_funds_2004" localSheetId="1">#REF!</definedName>
    <definedName name="add_funds_2004" localSheetId="32">#REF!</definedName>
    <definedName name="add_funds_2004" localSheetId="2">#REF!</definedName>
    <definedName name="add_funds_2004" localSheetId="3">#REF!</definedName>
    <definedName name="add_funds_2004" localSheetId="9">#REF!</definedName>
    <definedName name="add_funds_2004" localSheetId="33">#REF!</definedName>
    <definedName name="add_funds_2004" localSheetId="5">#REF!</definedName>
    <definedName name="add_funds_2004" localSheetId="34">#REF!</definedName>
    <definedName name="add_funds_2004" localSheetId="7">#REF!</definedName>
    <definedName name="add_funds_2004" localSheetId="13">#REF!</definedName>
    <definedName name="add_funds_2004" localSheetId="17">#REF!</definedName>
    <definedName name="add_funds_2004" localSheetId="18">#REF!</definedName>
    <definedName name="add_funds_2004" localSheetId="14">#REF!</definedName>
    <definedName name="add_funds_2004" localSheetId="19">#REF!</definedName>
    <definedName name="add_funds_2004" localSheetId="20">#REF!</definedName>
    <definedName name="add_funds_2004" localSheetId="15">#REF!</definedName>
    <definedName name="add_funds_2004" localSheetId="21">#REF!</definedName>
    <definedName name="add_funds_2004" localSheetId="22">#REF!</definedName>
    <definedName name="add_funds_2004" localSheetId="16">#REF!</definedName>
    <definedName name="add_funds_2004" localSheetId="23">#REF!</definedName>
    <definedName name="add_funds_2004" localSheetId="24">#REF!</definedName>
    <definedName name="add_funds_2004" localSheetId="12">'[1]CLM Programs'!#REF!</definedName>
    <definedName name="add_funds_2004">#REF!</definedName>
    <definedName name="Adjust_Col1" localSheetId="27">#REF!</definedName>
    <definedName name="Adjust_Col1" localSheetId="30">#REF!</definedName>
    <definedName name="Adjust_Col1" localSheetId="10">#REF!</definedName>
    <definedName name="Adjust_Col1" localSheetId="31">#REF!</definedName>
    <definedName name="Adjust_Col1" localSheetId="1">#REF!</definedName>
    <definedName name="Adjust_Col1" localSheetId="32">#REF!</definedName>
    <definedName name="Adjust_Col1" localSheetId="2">#REF!</definedName>
    <definedName name="Adjust_Col1" localSheetId="3">#REF!</definedName>
    <definedName name="Adjust_Col1" localSheetId="9">#REF!</definedName>
    <definedName name="Adjust_Col1" localSheetId="33">#REF!</definedName>
    <definedName name="Adjust_Col1" localSheetId="5">#REF!</definedName>
    <definedName name="Adjust_Col1" localSheetId="34">#REF!</definedName>
    <definedName name="Adjust_Col1" localSheetId="7">#REF!</definedName>
    <definedName name="Adjust_Col1" localSheetId="13">#REF!</definedName>
    <definedName name="Adjust_Col1" localSheetId="17">#REF!</definedName>
    <definedName name="Adjust_Col1" localSheetId="18">#REF!</definedName>
    <definedName name="Adjust_Col1" localSheetId="14">#REF!</definedName>
    <definedName name="Adjust_Col1" localSheetId="19">#REF!</definedName>
    <definedName name="Adjust_Col1" localSheetId="20">#REF!</definedName>
    <definedName name="Adjust_Col1" localSheetId="15">#REF!</definedName>
    <definedName name="Adjust_Col1" localSheetId="21">#REF!</definedName>
    <definedName name="Adjust_Col1" localSheetId="22">#REF!</definedName>
    <definedName name="Adjust_Col1" localSheetId="16">#REF!</definedName>
    <definedName name="Adjust_Col1" localSheetId="23">#REF!</definedName>
    <definedName name="Adjust_Col1" localSheetId="24">#REF!</definedName>
    <definedName name="Adjust_Col1" localSheetId="12">'[1]CLM Programs'!#REF!</definedName>
    <definedName name="Adjust_Col1">#REF!</definedName>
    <definedName name="alloc_add_funds2004" localSheetId="27">#REF!</definedName>
    <definedName name="alloc_add_funds2004" localSheetId="30">#REF!</definedName>
    <definedName name="alloc_add_funds2004" localSheetId="10">#REF!</definedName>
    <definedName name="alloc_add_funds2004" localSheetId="31">#REF!</definedName>
    <definedName name="alloc_add_funds2004" localSheetId="1">#REF!</definedName>
    <definedName name="alloc_add_funds2004" localSheetId="32">#REF!</definedName>
    <definedName name="alloc_add_funds2004" localSheetId="2">#REF!</definedName>
    <definedName name="alloc_add_funds2004" localSheetId="3">#REF!</definedName>
    <definedName name="alloc_add_funds2004" localSheetId="9">#REF!</definedName>
    <definedName name="alloc_add_funds2004" localSheetId="33">#REF!</definedName>
    <definedName name="alloc_add_funds2004" localSheetId="5">#REF!</definedName>
    <definedName name="alloc_add_funds2004" localSheetId="34">#REF!</definedName>
    <definedName name="alloc_add_funds2004" localSheetId="7">#REF!</definedName>
    <definedName name="alloc_add_funds2004" localSheetId="13">#REF!</definedName>
    <definedName name="alloc_add_funds2004" localSheetId="17">#REF!</definedName>
    <definedName name="alloc_add_funds2004" localSheetId="18">#REF!</definedName>
    <definedName name="alloc_add_funds2004" localSheetId="14">#REF!</definedName>
    <definedName name="alloc_add_funds2004" localSheetId="19">#REF!</definedName>
    <definedName name="alloc_add_funds2004" localSheetId="20">#REF!</definedName>
    <definedName name="alloc_add_funds2004" localSheetId="15">#REF!</definedName>
    <definedName name="alloc_add_funds2004" localSheetId="21">#REF!</definedName>
    <definedName name="alloc_add_funds2004" localSheetId="22">#REF!</definedName>
    <definedName name="alloc_add_funds2004" localSheetId="16">#REF!</definedName>
    <definedName name="alloc_add_funds2004" localSheetId="23">#REF!</definedName>
    <definedName name="alloc_add_funds2004" localSheetId="24">#REF!</definedName>
    <definedName name="alloc_add_funds2004" localSheetId="12">'[1]CLM Programs'!#REF!</definedName>
    <definedName name="alloc_add_funds2004">#REF!</definedName>
    <definedName name="ARACT" localSheetId="26">'[2]Attachment EL-17-1 Page 2 of 2'!#REF!</definedName>
    <definedName name="ARACT" localSheetId="27">'[2]Attachment EL-17-1 Page 2 of 2'!#REF!</definedName>
    <definedName name="ARACT" localSheetId="30">'[2]Attachment EL-17-1 Page 2 of 2'!#REF!</definedName>
    <definedName name="ARACT" localSheetId="25">'[2]Attachment EL-17-1 Page 2 of 2'!#REF!</definedName>
    <definedName name="ARACT" localSheetId="31">'[2]Attachment EL-17-1 Page 2 of 2'!#REF!</definedName>
    <definedName name="ARACT" localSheetId="1">'[2]Attachment EL-17-1 Page 2 of 2'!#REF!</definedName>
    <definedName name="ARACT" localSheetId="0">'[2]Attachment EL-17-1 Page 2 of 2'!#REF!</definedName>
    <definedName name="ARACT" localSheetId="32">'[2]Attachment EL-17-1 Page 2 of 2'!#REF!</definedName>
    <definedName name="ARACT" localSheetId="2">'[2]Attachment EL-17-1 Page 2 of 2'!#REF!</definedName>
    <definedName name="ARACT" localSheetId="3">'[2]Attachment EL-17-1 Page 2 of 2'!#REF!</definedName>
    <definedName name="ARACT" localSheetId="33">'[2]Attachment EL-17-1 Page 2 of 2'!#REF!</definedName>
    <definedName name="ARACT" localSheetId="5">'[2]Attachment EL-17-1 Page 2 of 2'!#REF!</definedName>
    <definedName name="ARACT" localSheetId="34">'[2]Attachment EL-17-1 Page 2 of 2'!#REF!</definedName>
    <definedName name="ARACT" localSheetId="7">'[2]Attachment EL-17-1 Page 2 of 2'!#REF!</definedName>
    <definedName name="ARACT" localSheetId="13">'[2]Attachment EL-17-1 Page 2 of 2'!#REF!</definedName>
    <definedName name="ARACT" localSheetId="17">'[2]Attachment EL-17-1 Page 2 of 2'!#REF!</definedName>
    <definedName name="ARACT" localSheetId="18">'[2]Attachment EL-17-1 Page 2 of 2'!#REF!</definedName>
    <definedName name="ARACT" localSheetId="14">'[2]Attachment EL-17-1 Page 2 of 2'!#REF!</definedName>
    <definedName name="ARACT" localSheetId="19">'[2]Attachment EL-17-1 Page 2 of 2'!#REF!</definedName>
    <definedName name="ARACT" localSheetId="20">'[2]Attachment EL-17-1 Page 2 of 2'!#REF!</definedName>
    <definedName name="ARACT" localSheetId="15">'[2]Attachment EL-17-1 Page 2 of 2'!#REF!</definedName>
    <definedName name="ARACT" localSheetId="21">'[2]Attachment EL-17-1 Page 2 of 2'!#REF!</definedName>
    <definedName name="ARACT" localSheetId="22">'[2]Attachment EL-17-1 Page 2 of 2'!#REF!</definedName>
    <definedName name="ARACT" localSheetId="16">'[2]Attachment EL-17-1 Page 2 of 2'!#REF!</definedName>
    <definedName name="ARACT" localSheetId="23">'[2]Attachment EL-17-1 Page 2 of 2'!#REF!</definedName>
    <definedName name="ARACT" localSheetId="24">'[2]Attachment EL-17-1 Page 2 of 2'!#REF!</definedName>
    <definedName name="ARACT" localSheetId="12">'[2]Attachment EL-17-1 Page 2 of 2'!#REF!</definedName>
    <definedName name="ARACT">'[2]Attachment EL-17-1 Page 2 of 2'!#REF!</definedName>
    <definedName name="arbud" localSheetId="26">'[2]Attachment EL-17-1 Page 2 of 2'!#REF!</definedName>
    <definedName name="arbud" localSheetId="27">'[2]Attachment EL-17-1 Page 2 of 2'!#REF!</definedName>
    <definedName name="arbud" localSheetId="30">'[2]Attachment EL-17-1 Page 2 of 2'!#REF!</definedName>
    <definedName name="arbud" localSheetId="25">'[2]Attachment EL-17-1 Page 2 of 2'!#REF!</definedName>
    <definedName name="arbud" localSheetId="31">'[2]Attachment EL-17-1 Page 2 of 2'!#REF!</definedName>
    <definedName name="arbud" localSheetId="1">'[2]Attachment EL-17-1 Page 2 of 2'!#REF!</definedName>
    <definedName name="arbud" localSheetId="0">'[2]Attachment EL-17-1 Page 2 of 2'!#REF!</definedName>
    <definedName name="arbud" localSheetId="32">'[2]Attachment EL-17-1 Page 2 of 2'!#REF!</definedName>
    <definedName name="arbud" localSheetId="2">'[2]Attachment EL-17-1 Page 2 of 2'!#REF!</definedName>
    <definedName name="arbud" localSheetId="3">'[2]Attachment EL-17-1 Page 2 of 2'!#REF!</definedName>
    <definedName name="arbud" localSheetId="33">'[2]Attachment EL-17-1 Page 2 of 2'!#REF!</definedName>
    <definedName name="arbud" localSheetId="5">'[2]Attachment EL-17-1 Page 2 of 2'!#REF!</definedName>
    <definedName name="arbud" localSheetId="34">'[2]Attachment EL-17-1 Page 2 of 2'!#REF!</definedName>
    <definedName name="arbud" localSheetId="7">'[2]Attachment EL-17-1 Page 2 of 2'!#REF!</definedName>
    <definedName name="arbud" localSheetId="13">'[2]Attachment EL-17-1 Page 2 of 2'!#REF!</definedName>
    <definedName name="arbud" localSheetId="17">'[2]Attachment EL-17-1 Page 2 of 2'!#REF!</definedName>
    <definedName name="arbud" localSheetId="18">'[2]Attachment EL-17-1 Page 2 of 2'!#REF!</definedName>
    <definedName name="arbud" localSheetId="14">'[2]Attachment EL-17-1 Page 2 of 2'!#REF!</definedName>
    <definedName name="arbud" localSheetId="19">'[2]Attachment EL-17-1 Page 2 of 2'!#REF!</definedName>
    <definedName name="arbud" localSheetId="20">'[2]Attachment EL-17-1 Page 2 of 2'!#REF!</definedName>
    <definedName name="arbud" localSheetId="15">'[2]Attachment EL-17-1 Page 2 of 2'!#REF!</definedName>
    <definedName name="arbud" localSheetId="21">'[2]Attachment EL-17-1 Page 2 of 2'!#REF!</definedName>
    <definedName name="arbud" localSheetId="22">'[2]Attachment EL-17-1 Page 2 of 2'!#REF!</definedName>
    <definedName name="arbud" localSheetId="16">'[2]Attachment EL-17-1 Page 2 of 2'!#REF!</definedName>
    <definedName name="arbud" localSheetId="23">'[2]Attachment EL-17-1 Page 2 of 2'!#REF!</definedName>
    <definedName name="arbud" localSheetId="24">'[2]Attachment EL-17-1 Page 2 of 2'!#REF!</definedName>
    <definedName name="arbud" localSheetId="12">'[2]Attachment EL-17-1 Page 2 of 2'!#REF!</definedName>
    <definedName name="arbud">'[2]Attachment EL-17-1 Page 2 of 2'!#REF!</definedName>
    <definedName name="arfor" localSheetId="26">'[2]Attachment EL-17-1 Page 2 of 2'!#REF!</definedName>
    <definedName name="arfor" localSheetId="27">'[2]Attachment EL-17-1 Page 2 of 2'!#REF!</definedName>
    <definedName name="arfor" localSheetId="30">'[2]Attachment EL-17-1 Page 2 of 2'!#REF!</definedName>
    <definedName name="arfor" localSheetId="25">'[2]Attachment EL-17-1 Page 2 of 2'!#REF!</definedName>
    <definedName name="arfor" localSheetId="31">'[2]Attachment EL-17-1 Page 2 of 2'!#REF!</definedName>
    <definedName name="arfor" localSheetId="1">'[2]Attachment EL-17-1 Page 2 of 2'!#REF!</definedName>
    <definedName name="arfor" localSheetId="0">'[2]Attachment EL-17-1 Page 2 of 2'!#REF!</definedName>
    <definedName name="arfor" localSheetId="32">'[2]Attachment EL-17-1 Page 2 of 2'!#REF!</definedName>
    <definedName name="arfor" localSheetId="2">'[2]Attachment EL-17-1 Page 2 of 2'!#REF!</definedName>
    <definedName name="arfor" localSheetId="3">'[2]Attachment EL-17-1 Page 2 of 2'!#REF!</definedName>
    <definedName name="arfor" localSheetId="33">'[2]Attachment EL-17-1 Page 2 of 2'!#REF!</definedName>
    <definedName name="arfor" localSheetId="5">'[2]Attachment EL-17-1 Page 2 of 2'!#REF!</definedName>
    <definedName name="arfor" localSheetId="34">'[2]Attachment EL-17-1 Page 2 of 2'!#REF!</definedName>
    <definedName name="arfor" localSheetId="7">'[2]Attachment EL-17-1 Page 2 of 2'!#REF!</definedName>
    <definedName name="arfor" localSheetId="13">'[2]Attachment EL-17-1 Page 2 of 2'!#REF!</definedName>
    <definedName name="arfor" localSheetId="17">'[2]Attachment EL-17-1 Page 2 of 2'!#REF!</definedName>
    <definedName name="arfor" localSheetId="18">'[2]Attachment EL-17-1 Page 2 of 2'!#REF!</definedName>
    <definedName name="arfor" localSheetId="14">'[2]Attachment EL-17-1 Page 2 of 2'!#REF!</definedName>
    <definedName name="arfor" localSheetId="19">'[2]Attachment EL-17-1 Page 2 of 2'!#REF!</definedName>
    <definedName name="arfor" localSheetId="20">'[2]Attachment EL-17-1 Page 2 of 2'!#REF!</definedName>
    <definedName name="arfor" localSheetId="15">'[2]Attachment EL-17-1 Page 2 of 2'!#REF!</definedName>
    <definedName name="arfor" localSheetId="21">'[2]Attachment EL-17-1 Page 2 of 2'!#REF!</definedName>
    <definedName name="arfor" localSheetId="22">'[2]Attachment EL-17-1 Page 2 of 2'!#REF!</definedName>
    <definedName name="arfor" localSheetId="16">'[2]Attachment EL-17-1 Page 2 of 2'!#REF!</definedName>
    <definedName name="arfor" localSheetId="23">'[2]Attachment EL-17-1 Page 2 of 2'!#REF!</definedName>
    <definedName name="arfor" localSheetId="24">'[2]Attachment EL-17-1 Page 2 of 2'!#REF!</definedName>
    <definedName name="arfor" localSheetId="12">'[2]Attachment EL-17-1 Page 2 of 2'!#REF!</definedName>
    <definedName name="arfor">'[2]Attachment EL-17-1 Page 2 of 2'!#REF!</definedName>
    <definedName name="ATSOACT" localSheetId="26">'[2]Attachment EL-17-1 Page 2 of 2'!#REF!</definedName>
    <definedName name="ATSOACT" localSheetId="27">'[2]Attachment EL-17-1 Page 2 of 2'!#REF!</definedName>
    <definedName name="ATSOACT" localSheetId="30">'[2]Attachment EL-17-1 Page 2 of 2'!#REF!</definedName>
    <definedName name="ATSOACT" localSheetId="25">'[2]Attachment EL-17-1 Page 2 of 2'!#REF!</definedName>
    <definedName name="ATSOACT" localSheetId="31">'[2]Attachment EL-17-1 Page 2 of 2'!#REF!</definedName>
    <definedName name="ATSOACT" localSheetId="1">'[2]Attachment EL-17-1 Page 2 of 2'!#REF!</definedName>
    <definedName name="ATSOACT" localSheetId="0">'[2]Attachment EL-17-1 Page 2 of 2'!#REF!</definedName>
    <definedName name="ATSOACT" localSheetId="32">'[2]Attachment EL-17-1 Page 2 of 2'!#REF!</definedName>
    <definedName name="ATSOACT" localSheetId="2">'[2]Attachment EL-17-1 Page 2 of 2'!#REF!</definedName>
    <definedName name="ATSOACT" localSheetId="3">'[2]Attachment EL-17-1 Page 2 of 2'!#REF!</definedName>
    <definedName name="ATSOACT" localSheetId="33">'[2]Attachment EL-17-1 Page 2 of 2'!#REF!</definedName>
    <definedName name="ATSOACT" localSheetId="5">'[2]Attachment EL-17-1 Page 2 of 2'!#REF!</definedName>
    <definedName name="ATSOACT" localSheetId="34">'[2]Attachment EL-17-1 Page 2 of 2'!#REF!</definedName>
    <definedName name="ATSOACT" localSheetId="7">'[2]Attachment EL-17-1 Page 2 of 2'!#REF!</definedName>
    <definedName name="ATSOACT" localSheetId="13">'[2]Attachment EL-17-1 Page 2 of 2'!#REF!</definedName>
    <definedName name="ATSOACT" localSheetId="17">'[2]Attachment EL-17-1 Page 2 of 2'!#REF!</definedName>
    <definedName name="ATSOACT" localSheetId="18">'[2]Attachment EL-17-1 Page 2 of 2'!#REF!</definedName>
    <definedName name="ATSOACT" localSheetId="14">'[2]Attachment EL-17-1 Page 2 of 2'!#REF!</definedName>
    <definedName name="ATSOACT" localSheetId="19">'[2]Attachment EL-17-1 Page 2 of 2'!#REF!</definedName>
    <definedName name="ATSOACT" localSheetId="20">'[2]Attachment EL-17-1 Page 2 of 2'!#REF!</definedName>
    <definedName name="ATSOACT" localSheetId="15">'[2]Attachment EL-17-1 Page 2 of 2'!#REF!</definedName>
    <definedName name="ATSOACT" localSheetId="21">'[2]Attachment EL-17-1 Page 2 of 2'!#REF!</definedName>
    <definedName name="ATSOACT" localSheetId="22">'[2]Attachment EL-17-1 Page 2 of 2'!#REF!</definedName>
    <definedName name="ATSOACT" localSheetId="16">'[2]Attachment EL-17-1 Page 2 of 2'!#REF!</definedName>
    <definedName name="ATSOACT" localSheetId="23">'[2]Attachment EL-17-1 Page 2 of 2'!#REF!</definedName>
    <definedName name="ATSOACT" localSheetId="24">'[2]Attachment EL-17-1 Page 2 of 2'!#REF!</definedName>
    <definedName name="ATSOACT" localSheetId="12">'[2]Attachment EL-17-1 Page 2 of 2'!#REF!</definedName>
    <definedName name="ATSOACT">'[2]Attachment EL-17-1 Page 2 of 2'!#REF!</definedName>
    <definedName name="b" localSheetId="27">#REF!</definedName>
    <definedName name="b" localSheetId="30">#REF!</definedName>
    <definedName name="b" localSheetId="10">#REF!</definedName>
    <definedName name="b" localSheetId="31">#REF!</definedName>
    <definedName name="b" localSheetId="1">#REF!</definedName>
    <definedName name="b" localSheetId="32">#REF!</definedName>
    <definedName name="b" localSheetId="2">#REF!</definedName>
    <definedName name="b" localSheetId="3">#REF!</definedName>
    <definedName name="b" localSheetId="9">#REF!</definedName>
    <definedName name="b" localSheetId="33">#REF!</definedName>
    <definedName name="b" localSheetId="5">#REF!</definedName>
    <definedName name="b" localSheetId="34">#REF!</definedName>
    <definedName name="b" localSheetId="7">#REF!</definedName>
    <definedName name="b" localSheetId="13">#REF!</definedName>
    <definedName name="b" localSheetId="17">#REF!</definedName>
    <definedName name="b" localSheetId="18">#REF!</definedName>
    <definedName name="b" localSheetId="14">#REF!</definedName>
    <definedName name="b" localSheetId="19">#REF!</definedName>
    <definedName name="b" localSheetId="20">#REF!</definedName>
    <definedName name="b" localSheetId="15">#REF!</definedName>
    <definedName name="b" localSheetId="21">#REF!</definedName>
    <definedName name="b" localSheetId="22">#REF!</definedName>
    <definedName name="b" localSheetId="16">#REF!</definedName>
    <definedName name="b" localSheetId="23">#REF!</definedName>
    <definedName name="b" localSheetId="24">#REF!</definedName>
    <definedName name="b">#REF!</definedName>
    <definedName name="bill_insert" localSheetId="27">#REF!</definedName>
    <definedName name="bill_insert" localSheetId="30">#REF!</definedName>
    <definedName name="bill_insert" localSheetId="10">#REF!</definedName>
    <definedName name="bill_insert" localSheetId="31">#REF!</definedName>
    <definedName name="bill_insert" localSheetId="1">#REF!</definedName>
    <definedName name="bill_insert" localSheetId="0">#REF!</definedName>
    <definedName name="bill_insert" localSheetId="32">#REF!</definedName>
    <definedName name="bill_insert" localSheetId="2">#REF!</definedName>
    <definedName name="bill_insert" localSheetId="3">#REF!</definedName>
    <definedName name="bill_insert" localSheetId="9">#REF!</definedName>
    <definedName name="bill_insert" localSheetId="33">#REF!</definedName>
    <definedName name="bill_insert" localSheetId="5">#REF!</definedName>
    <definedName name="bill_insert" localSheetId="34">#REF!</definedName>
    <definedName name="bill_insert" localSheetId="7">#REF!</definedName>
    <definedName name="bill_insert" localSheetId="13">#REF!</definedName>
    <definedName name="bill_insert" localSheetId="17">#REF!</definedName>
    <definedName name="bill_insert" localSheetId="18">#REF!</definedName>
    <definedName name="bill_insert" localSheetId="14">#REF!</definedName>
    <definedName name="bill_insert" localSheetId="19">#REF!</definedName>
    <definedName name="bill_insert" localSheetId="20">#REF!</definedName>
    <definedName name="bill_insert" localSheetId="15">#REF!</definedName>
    <definedName name="bill_insert" localSheetId="21">#REF!</definedName>
    <definedName name="bill_insert" localSheetId="22">#REF!</definedName>
    <definedName name="bill_insert" localSheetId="16">#REF!</definedName>
    <definedName name="bill_insert" localSheetId="23">#REF!</definedName>
    <definedName name="bill_insert" localSheetId="24">#REF!</definedName>
    <definedName name="bill_insert" localSheetId="12">#REF!</definedName>
    <definedName name="bill_insert">#REF!</definedName>
    <definedName name="budcc" localSheetId="27">#REF!</definedName>
    <definedName name="budcc" localSheetId="30">#REF!</definedName>
    <definedName name="budcc" localSheetId="10">#REF!</definedName>
    <definedName name="budcc" localSheetId="31">#REF!</definedName>
    <definedName name="budcc" localSheetId="1">#REF!</definedName>
    <definedName name="budcc" localSheetId="0">#REF!</definedName>
    <definedName name="budcc" localSheetId="32">#REF!</definedName>
    <definedName name="budcc" localSheetId="2">#REF!</definedName>
    <definedName name="budcc" localSheetId="3">#REF!</definedName>
    <definedName name="budcc" localSheetId="9">#REF!</definedName>
    <definedName name="budcc" localSheetId="33">#REF!</definedName>
    <definedName name="budcc" localSheetId="5">#REF!</definedName>
    <definedName name="budcc" localSheetId="34">#REF!</definedName>
    <definedName name="budcc" localSheetId="7">#REF!</definedName>
    <definedName name="budcc" localSheetId="13">#REF!</definedName>
    <definedName name="budcc" localSheetId="17">#REF!</definedName>
    <definedName name="budcc" localSheetId="18">#REF!</definedName>
    <definedName name="budcc" localSheetId="14">#REF!</definedName>
    <definedName name="budcc" localSheetId="19">#REF!</definedName>
    <definedName name="budcc" localSheetId="20">#REF!</definedName>
    <definedName name="budcc" localSheetId="15">#REF!</definedName>
    <definedName name="budcc" localSheetId="21">#REF!</definedName>
    <definedName name="budcc" localSheetId="22">#REF!</definedName>
    <definedName name="budcc" localSheetId="16">#REF!</definedName>
    <definedName name="budcc" localSheetId="23">#REF!</definedName>
    <definedName name="budcc" localSheetId="24">#REF!</definedName>
    <definedName name="budcc" localSheetId="12">#REF!</definedName>
    <definedName name="budcc">#REF!</definedName>
    <definedName name="Budget_3_8_05" localSheetId="27">#REF!</definedName>
    <definedName name="Budget_3_8_05" localSheetId="30">#REF!</definedName>
    <definedName name="Budget_3_8_05" localSheetId="10">#REF!</definedName>
    <definedName name="Budget_3_8_05" localSheetId="31">#REF!</definedName>
    <definedName name="Budget_3_8_05" localSheetId="1">#REF!</definedName>
    <definedName name="Budget_3_8_05" localSheetId="32">#REF!</definedName>
    <definedName name="Budget_3_8_05" localSheetId="2">#REF!</definedName>
    <definedName name="Budget_3_8_05" localSheetId="3">#REF!</definedName>
    <definedName name="Budget_3_8_05" localSheetId="9">#REF!</definedName>
    <definedName name="Budget_3_8_05" localSheetId="33">#REF!</definedName>
    <definedName name="Budget_3_8_05" localSheetId="5">#REF!</definedName>
    <definedName name="Budget_3_8_05" localSheetId="34">#REF!</definedName>
    <definedName name="Budget_3_8_05" localSheetId="7">#REF!</definedName>
    <definedName name="Budget_3_8_05" localSheetId="13">#REF!</definedName>
    <definedName name="Budget_3_8_05" localSheetId="17">#REF!</definedName>
    <definedName name="Budget_3_8_05" localSheetId="18">#REF!</definedName>
    <definedName name="Budget_3_8_05" localSheetId="14">#REF!</definedName>
    <definedName name="Budget_3_8_05" localSheetId="19">#REF!</definedName>
    <definedName name="Budget_3_8_05" localSheetId="20">#REF!</definedName>
    <definedName name="Budget_3_8_05" localSheetId="15">#REF!</definedName>
    <definedName name="Budget_3_8_05" localSheetId="21">#REF!</definedName>
    <definedName name="Budget_3_8_05" localSheetId="22">#REF!</definedName>
    <definedName name="Budget_3_8_05" localSheetId="16">#REF!</definedName>
    <definedName name="Budget_3_8_05" localSheetId="23">#REF!</definedName>
    <definedName name="Budget_3_8_05" localSheetId="24">#REF!</definedName>
    <definedName name="Budget_3_8_05" localSheetId="12">'[1]CLM Programs'!#REF!</definedName>
    <definedName name="Budget_3_8_05">#REF!</definedName>
    <definedName name="budpm" localSheetId="27">#REF!</definedName>
    <definedName name="budpm" localSheetId="30">#REF!</definedName>
    <definedName name="budpm" localSheetId="10">#REF!</definedName>
    <definedName name="budpm" localSheetId="31">#REF!</definedName>
    <definedName name="budpm" localSheetId="1">#REF!</definedName>
    <definedName name="budpm" localSheetId="0">#REF!</definedName>
    <definedName name="budpm" localSheetId="32">#REF!</definedName>
    <definedName name="budpm" localSheetId="2">#REF!</definedName>
    <definedName name="budpm" localSheetId="3">#REF!</definedName>
    <definedName name="budpm" localSheetId="9">#REF!</definedName>
    <definedName name="budpm" localSheetId="33">#REF!</definedName>
    <definedName name="budpm" localSheetId="5">#REF!</definedName>
    <definedName name="budpm" localSheetId="34">#REF!</definedName>
    <definedName name="budpm" localSheetId="7">#REF!</definedName>
    <definedName name="budpm" localSheetId="13">#REF!</definedName>
    <definedName name="budpm" localSheetId="17">#REF!</definedName>
    <definedName name="budpm" localSheetId="18">#REF!</definedName>
    <definedName name="budpm" localSheetId="14">#REF!</definedName>
    <definedName name="budpm" localSheetId="19">#REF!</definedName>
    <definedName name="budpm" localSheetId="20">#REF!</definedName>
    <definedName name="budpm" localSheetId="15">#REF!</definedName>
    <definedName name="budpm" localSheetId="21">#REF!</definedName>
    <definedName name="budpm" localSheetId="22">#REF!</definedName>
    <definedName name="budpm" localSheetId="16">#REF!</definedName>
    <definedName name="budpm" localSheetId="23">#REF!</definedName>
    <definedName name="budpm" localSheetId="24">#REF!</definedName>
    <definedName name="budpm" localSheetId="12">#REF!</definedName>
    <definedName name="budpm">#REF!</definedName>
    <definedName name="C_I_Dollars_per_kW" localSheetId="31">'[3]EB $'!#REF!</definedName>
    <definedName name="C_I_Dollars_per_kW" localSheetId="1">'[3]EB $'!#REF!</definedName>
    <definedName name="C_I_Dollars_per_kW" localSheetId="32">'[3]EB $'!#REF!</definedName>
    <definedName name="C_I_Dollars_per_kW" localSheetId="2">'[3]EB $'!#REF!</definedName>
    <definedName name="C_I_Dollars_per_kW" localSheetId="3">'[3]EB $'!#REF!</definedName>
    <definedName name="C_I_Dollars_per_kW" localSheetId="33">'[3]EB $'!#REF!</definedName>
    <definedName name="C_I_Dollars_per_kW" localSheetId="5">'[3]EB $'!#REF!</definedName>
    <definedName name="C_I_Dollars_per_kW" localSheetId="34">'[3]EB $'!#REF!</definedName>
    <definedName name="C_I_Dollars_per_kW" localSheetId="7">'[3]EB $'!#REF!</definedName>
    <definedName name="C_I_Dollars_per_kW" localSheetId="13">'[3]EB $'!#REF!</definedName>
    <definedName name="C_I_Dollars_per_kW" localSheetId="17">'[3]EB $'!#REF!</definedName>
    <definedName name="C_I_Dollars_per_kW" localSheetId="18">'[3]EB $'!#REF!</definedName>
    <definedName name="C_I_Dollars_per_kW" localSheetId="14">'[3]EB $'!#REF!</definedName>
    <definedName name="C_I_Dollars_per_kW" localSheetId="19">'[3]EB $'!#REF!</definedName>
    <definedName name="C_I_Dollars_per_kW" localSheetId="20">'[3]EB $'!#REF!</definedName>
    <definedName name="C_I_Dollars_per_kW" localSheetId="15">'[3]EB $'!#REF!</definedName>
    <definedName name="C_I_Dollars_per_kW" localSheetId="21">'[3]EB $'!#REF!</definedName>
    <definedName name="C_I_Dollars_per_kW" localSheetId="22">'[3]EB $'!#REF!</definedName>
    <definedName name="C_I_Dollars_per_kW" localSheetId="16">'[3]EB $'!#REF!</definedName>
    <definedName name="C_I_Dollars_per_kW" localSheetId="23">'[3]EB $'!#REF!</definedName>
    <definedName name="C_I_Dollars_per_kW" localSheetId="24">'[3]EB $'!#REF!</definedName>
    <definedName name="C_I_Dollars_per_kW">'[3]EB $'!#REF!</definedName>
    <definedName name="C_I_Dollars_per_kWh" localSheetId="31">'[3]EB $'!#REF!</definedName>
    <definedName name="C_I_Dollars_per_kWh" localSheetId="1">'[3]EB $'!#REF!</definedName>
    <definedName name="C_I_Dollars_per_kWh" localSheetId="32">'[3]EB $'!#REF!</definedName>
    <definedName name="C_I_Dollars_per_kWh" localSheetId="2">'[3]EB $'!#REF!</definedName>
    <definedName name="C_I_Dollars_per_kWh" localSheetId="3">'[3]EB $'!#REF!</definedName>
    <definedName name="C_I_Dollars_per_kWh" localSheetId="33">'[3]EB $'!#REF!</definedName>
    <definedName name="C_I_Dollars_per_kWh" localSheetId="5">'[3]EB $'!#REF!</definedName>
    <definedName name="C_I_Dollars_per_kWh" localSheetId="34">'[3]EB $'!#REF!</definedName>
    <definedName name="C_I_Dollars_per_kWh" localSheetId="7">'[3]EB $'!#REF!</definedName>
    <definedName name="C_I_Dollars_per_kWh" localSheetId="13">'[3]EB $'!#REF!</definedName>
    <definedName name="C_I_Dollars_per_kWh" localSheetId="17">'[3]EB $'!#REF!</definedName>
    <definedName name="C_I_Dollars_per_kWh" localSheetId="18">'[3]EB $'!#REF!</definedName>
    <definedName name="C_I_Dollars_per_kWh" localSheetId="14">'[3]EB $'!#REF!</definedName>
    <definedName name="C_I_Dollars_per_kWh" localSheetId="19">'[3]EB $'!#REF!</definedName>
    <definedName name="C_I_Dollars_per_kWh" localSheetId="20">'[3]EB $'!#REF!</definedName>
    <definedName name="C_I_Dollars_per_kWh" localSheetId="15">'[3]EB $'!#REF!</definedName>
    <definedName name="C_I_Dollars_per_kWh" localSheetId="21">'[3]EB $'!#REF!</definedName>
    <definedName name="C_I_Dollars_per_kWh" localSheetId="22">'[3]EB $'!#REF!</definedName>
    <definedName name="C_I_Dollars_per_kWh" localSheetId="16">'[3]EB $'!#REF!</definedName>
    <definedName name="C_I_Dollars_per_kWh" localSheetId="23">'[3]EB $'!#REF!</definedName>
    <definedName name="C_I_Dollars_per_kWh" localSheetId="24">'[3]EB $'!#REF!</definedName>
    <definedName name="C_I_Dollars_per_kWh">'[3]EB $'!#REF!</definedName>
    <definedName name="ccact" localSheetId="26">#REF!</definedName>
    <definedName name="ccact" localSheetId="27">#REF!</definedName>
    <definedName name="ccact" localSheetId="30">#REF!</definedName>
    <definedName name="ccact" localSheetId="25">#REF!</definedName>
    <definedName name="ccact" localSheetId="10">#REF!</definedName>
    <definedName name="ccact" localSheetId="31">#REF!</definedName>
    <definedName name="ccact" localSheetId="1">#REF!</definedName>
    <definedName name="ccact" localSheetId="32">#REF!</definedName>
    <definedName name="ccact" localSheetId="2">#REF!</definedName>
    <definedName name="ccact" localSheetId="3">#REF!</definedName>
    <definedName name="ccact" localSheetId="9">#REF!</definedName>
    <definedName name="ccact" localSheetId="33">#REF!</definedName>
    <definedName name="ccact" localSheetId="5">#REF!</definedName>
    <definedName name="ccact" localSheetId="34">#REF!</definedName>
    <definedName name="ccact" localSheetId="7">#REF!</definedName>
    <definedName name="ccact" localSheetId="13">#REF!</definedName>
    <definedName name="ccact" localSheetId="17">#REF!</definedName>
    <definedName name="ccact" localSheetId="18">#REF!</definedName>
    <definedName name="ccact" localSheetId="14">#REF!</definedName>
    <definedName name="ccact" localSheetId="19">#REF!</definedName>
    <definedName name="ccact" localSheetId="20">#REF!</definedName>
    <definedName name="ccact" localSheetId="15">#REF!</definedName>
    <definedName name="ccact" localSheetId="21">#REF!</definedName>
    <definedName name="ccact" localSheetId="22">#REF!</definedName>
    <definedName name="ccact" localSheetId="16">#REF!</definedName>
    <definedName name="ccact" localSheetId="23">#REF!</definedName>
    <definedName name="ccact" localSheetId="24">#REF!</definedName>
    <definedName name="ccact" localSheetId="12">#REF!</definedName>
    <definedName name="ccact">#REF!</definedName>
    <definedName name="ccbud" localSheetId="26">#REF!</definedName>
    <definedName name="ccbud" localSheetId="27">#REF!</definedName>
    <definedName name="ccbud" localSheetId="30">#REF!</definedName>
    <definedName name="ccbud" localSheetId="25">#REF!</definedName>
    <definedName name="ccbud" localSheetId="10">#REF!</definedName>
    <definedName name="ccbud" localSheetId="31">#REF!</definedName>
    <definedName name="ccbud" localSheetId="1">#REF!</definedName>
    <definedName name="ccbud" localSheetId="32">#REF!</definedName>
    <definedName name="ccbud" localSheetId="2">#REF!</definedName>
    <definedName name="ccbud" localSheetId="3">#REF!</definedName>
    <definedName name="ccbud" localSheetId="9">#REF!</definedName>
    <definedName name="ccbud" localSheetId="33">#REF!</definedName>
    <definedName name="ccbud" localSheetId="5">#REF!</definedName>
    <definedName name="ccbud" localSheetId="34">#REF!</definedName>
    <definedName name="ccbud" localSheetId="7">#REF!</definedName>
    <definedName name="ccbud" localSheetId="13">#REF!</definedName>
    <definedName name="ccbud" localSheetId="17">#REF!</definedName>
    <definedName name="ccbud" localSheetId="18">#REF!</definedName>
    <definedName name="ccbud" localSheetId="14">#REF!</definedName>
    <definedName name="ccbud" localSheetId="19">#REF!</definedName>
    <definedName name="ccbud" localSheetId="20">#REF!</definedName>
    <definedName name="ccbud" localSheetId="15">#REF!</definedName>
    <definedName name="ccbud" localSheetId="21">#REF!</definedName>
    <definedName name="ccbud" localSheetId="22">#REF!</definedName>
    <definedName name="ccbud" localSheetId="16">#REF!</definedName>
    <definedName name="ccbud" localSheetId="23">#REF!</definedName>
    <definedName name="ccbud" localSheetId="24">#REF!</definedName>
    <definedName name="ccbud" localSheetId="12">#REF!</definedName>
    <definedName name="ccbud">#REF!</definedName>
    <definedName name="ccfor" localSheetId="26">#REF!</definedName>
    <definedName name="ccfor" localSheetId="27">#REF!</definedName>
    <definedName name="ccfor" localSheetId="30">#REF!</definedName>
    <definedName name="ccfor" localSheetId="25">#REF!</definedName>
    <definedName name="ccfor" localSheetId="10">#REF!</definedName>
    <definedName name="ccfor" localSheetId="31">#REF!</definedName>
    <definedName name="ccfor" localSheetId="1">#REF!</definedName>
    <definedName name="ccfor" localSheetId="32">#REF!</definedName>
    <definedName name="ccfor" localSheetId="2">#REF!</definedName>
    <definedName name="ccfor" localSheetId="3">#REF!</definedName>
    <definedName name="ccfor" localSheetId="9">#REF!</definedName>
    <definedName name="ccfor" localSheetId="33">#REF!</definedName>
    <definedName name="ccfor" localSheetId="5">#REF!</definedName>
    <definedName name="ccfor" localSheetId="34">#REF!</definedName>
    <definedName name="ccfor" localSheetId="7">#REF!</definedName>
    <definedName name="ccfor" localSheetId="13">#REF!</definedName>
    <definedName name="ccfor" localSheetId="17">#REF!</definedName>
    <definedName name="ccfor" localSheetId="18">#REF!</definedName>
    <definedName name="ccfor" localSheetId="14">#REF!</definedName>
    <definedName name="ccfor" localSheetId="19">#REF!</definedName>
    <definedName name="ccfor" localSheetId="20">#REF!</definedName>
    <definedName name="ccfor" localSheetId="15">#REF!</definedName>
    <definedName name="ccfor" localSheetId="21">#REF!</definedName>
    <definedName name="ccfor" localSheetId="22">#REF!</definedName>
    <definedName name="ccfor" localSheetId="16">#REF!</definedName>
    <definedName name="ccfor" localSheetId="23">#REF!</definedName>
    <definedName name="ccfor" localSheetId="24">#REF!</definedName>
    <definedName name="ccfor" localSheetId="12">#REF!</definedName>
    <definedName name="ccfor">#REF!</definedName>
    <definedName name="ccytd" localSheetId="26">#REF!</definedName>
    <definedName name="ccytd" localSheetId="27">#REF!</definedName>
    <definedName name="ccytd" localSheetId="30">#REF!</definedName>
    <definedName name="ccytd" localSheetId="25">#REF!</definedName>
    <definedName name="ccytd" localSheetId="10">#REF!</definedName>
    <definedName name="ccytd" localSheetId="31">#REF!</definedName>
    <definedName name="ccytd" localSheetId="1">#REF!</definedName>
    <definedName name="ccytd" localSheetId="32">#REF!</definedName>
    <definedName name="ccytd" localSheetId="2">#REF!</definedName>
    <definedName name="ccytd" localSheetId="3">#REF!</definedName>
    <definedName name="ccytd" localSheetId="9">#REF!</definedName>
    <definedName name="ccytd" localSheetId="33">#REF!</definedName>
    <definedName name="ccytd" localSheetId="5">#REF!</definedName>
    <definedName name="ccytd" localSheetId="34">#REF!</definedName>
    <definedName name="ccytd" localSheetId="7">#REF!</definedName>
    <definedName name="ccytd" localSheetId="13">#REF!</definedName>
    <definedName name="ccytd" localSheetId="17">#REF!</definedName>
    <definedName name="ccytd" localSheetId="18">#REF!</definedName>
    <definedName name="ccytd" localSheetId="14">#REF!</definedName>
    <definedName name="ccytd" localSheetId="19">#REF!</definedName>
    <definedName name="ccytd" localSheetId="20">#REF!</definedName>
    <definedName name="ccytd" localSheetId="15">#REF!</definedName>
    <definedName name="ccytd" localSheetId="21">#REF!</definedName>
    <definedName name="ccytd" localSheetId="22">#REF!</definedName>
    <definedName name="ccytd" localSheetId="16">#REF!</definedName>
    <definedName name="ccytd" localSheetId="23">#REF!</definedName>
    <definedName name="ccytd" localSheetId="24">#REF!</definedName>
    <definedName name="ccytd" localSheetId="12">#REF!</definedName>
    <definedName name="ccytd">#REF!</definedName>
    <definedName name="ccytdgoal" localSheetId="27">#REF!</definedName>
    <definedName name="ccytdgoal" localSheetId="30">#REF!</definedName>
    <definedName name="ccytdgoal" localSheetId="10">#REF!</definedName>
    <definedName name="ccytdgoal" localSheetId="31">#REF!</definedName>
    <definedName name="ccytdgoal" localSheetId="1">#REF!</definedName>
    <definedName name="ccytdgoal" localSheetId="32">#REF!</definedName>
    <definedName name="ccytdgoal" localSheetId="2">#REF!</definedName>
    <definedName name="ccytdgoal" localSheetId="3">#REF!</definedName>
    <definedName name="ccytdgoal" localSheetId="9">#REF!</definedName>
    <definedName name="ccytdgoal" localSheetId="33">#REF!</definedName>
    <definedName name="ccytdgoal" localSheetId="5">#REF!</definedName>
    <definedName name="ccytdgoal" localSheetId="34">#REF!</definedName>
    <definedName name="ccytdgoal" localSheetId="7">#REF!</definedName>
    <definedName name="ccytdgoal" localSheetId="13">#REF!</definedName>
    <definedName name="ccytdgoal" localSheetId="17">#REF!</definedName>
    <definedName name="ccytdgoal" localSheetId="18">#REF!</definedName>
    <definedName name="ccytdgoal" localSheetId="14">#REF!</definedName>
    <definedName name="ccytdgoal" localSheetId="19">#REF!</definedName>
    <definedName name="ccytdgoal" localSheetId="20">#REF!</definedName>
    <definedName name="ccytdgoal" localSheetId="15">#REF!</definedName>
    <definedName name="ccytdgoal" localSheetId="21">#REF!</definedName>
    <definedName name="ccytdgoal" localSheetId="22">#REF!</definedName>
    <definedName name="ccytdgoal" localSheetId="16">#REF!</definedName>
    <definedName name="ccytdgoal" localSheetId="23">#REF!</definedName>
    <definedName name="ccytdgoal" localSheetId="24">#REF!</definedName>
    <definedName name="ccytdgoal" localSheetId="12">#REF!</definedName>
    <definedName name="ccytdgoal">#REF!</definedName>
    <definedName name="cgl" localSheetId="12" hidden="1">{#N/A,#N/A,FALSE,"GLDwnLoad"}</definedName>
    <definedName name="cgl" hidden="1">{#N/A,#N/A,FALSE,"GLDwnLoad"}</definedName>
    <definedName name="clmacytd" localSheetId="26">#REF!</definedName>
    <definedName name="clmacytd" localSheetId="27">#REF!</definedName>
    <definedName name="clmacytd" localSheetId="30">#REF!</definedName>
    <definedName name="clmacytd" localSheetId="25">#REF!</definedName>
    <definedName name="clmacytd" localSheetId="10">#REF!</definedName>
    <definedName name="clmacytd" localSheetId="31">#REF!</definedName>
    <definedName name="clmacytd" localSheetId="1">#REF!</definedName>
    <definedName name="clmacytd" localSheetId="32">#REF!</definedName>
    <definedName name="clmacytd" localSheetId="2">#REF!</definedName>
    <definedName name="clmacytd" localSheetId="3">#REF!</definedName>
    <definedName name="clmacytd" localSheetId="9">#REF!</definedName>
    <definedName name="clmacytd" localSheetId="33">#REF!</definedName>
    <definedName name="clmacytd" localSheetId="5">#REF!</definedName>
    <definedName name="clmacytd" localSheetId="34">#REF!</definedName>
    <definedName name="clmacytd" localSheetId="7">#REF!</definedName>
    <definedName name="clmacytd" localSheetId="13">#REF!</definedName>
    <definedName name="clmacytd" localSheetId="17">#REF!</definedName>
    <definedName name="clmacytd" localSheetId="18">#REF!</definedName>
    <definedName name="clmacytd" localSheetId="14">#REF!</definedName>
    <definedName name="clmacytd" localSheetId="19">#REF!</definedName>
    <definedName name="clmacytd" localSheetId="20">#REF!</definedName>
    <definedName name="clmacytd" localSheetId="15">#REF!</definedName>
    <definedName name="clmacytd" localSheetId="21">#REF!</definedName>
    <definedName name="clmacytd" localSheetId="22">#REF!</definedName>
    <definedName name="clmacytd" localSheetId="16">#REF!</definedName>
    <definedName name="clmacytd" localSheetId="23">#REF!</definedName>
    <definedName name="clmacytd" localSheetId="24">#REF!</definedName>
    <definedName name="clmacytd" localSheetId="12">#REF!</definedName>
    <definedName name="clmacytd">#REF!</definedName>
    <definedName name="clmacytdgoal" localSheetId="27">#REF!</definedName>
    <definedName name="clmacytdgoal" localSheetId="30">#REF!</definedName>
    <definedName name="clmacytdgoal" localSheetId="10">#REF!</definedName>
    <definedName name="clmacytdgoal" localSheetId="31">#REF!</definedName>
    <definedName name="clmacytdgoal" localSheetId="1">#REF!</definedName>
    <definedName name="clmacytdgoal" localSheetId="32">#REF!</definedName>
    <definedName name="clmacytdgoal" localSheetId="2">#REF!</definedName>
    <definedName name="clmacytdgoal" localSheetId="3">#REF!</definedName>
    <definedName name="clmacytdgoal" localSheetId="9">#REF!</definedName>
    <definedName name="clmacytdgoal" localSheetId="33">#REF!</definedName>
    <definedName name="clmacytdgoal" localSheetId="5">#REF!</definedName>
    <definedName name="clmacytdgoal" localSheetId="34">#REF!</definedName>
    <definedName name="clmacytdgoal" localSheetId="7">#REF!</definedName>
    <definedName name="clmacytdgoal" localSheetId="13">#REF!</definedName>
    <definedName name="clmacytdgoal" localSheetId="17">#REF!</definedName>
    <definedName name="clmacytdgoal" localSheetId="18">#REF!</definedName>
    <definedName name="clmacytdgoal" localSheetId="14">#REF!</definedName>
    <definedName name="clmacytdgoal" localSheetId="19">#REF!</definedName>
    <definedName name="clmacytdgoal" localSheetId="20">#REF!</definedName>
    <definedName name="clmacytdgoal" localSheetId="15">#REF!</definedName>
    <definedName name="clmacytdgoal" localSheetId="21">#REF!</definedName>
    <definedName name="clmacytdgoal" localSheetId="22">#REF!</definedName>
    <definedName name="clmacytdgoal" localSheetId="16">#REF!</definedName>
    <definedName name="clmacytdgoal" localSheetId="23">#REF!</definedName>
    <definedName name="clmacytdgoal" localSheetId="24">#REF!</definedName>
    <definedName name="clmacytdgoal" localSheetId="12">#REF!</definedName>
    <definedName name="clmacytdgoal">#REF!</definedName>
    <definedName name="clmeoact" localSheetId="26">#REF!</definedName>
    <definedName name="clmeoact" localSheetId="27">#REF!</definedName>
    <definedName name="clmeoact" localSheetId="30">#REF!</definedName>
    <definedName name="clmeoact" localSheetId="25">#REF!</definedName>
    <definedName name="clmeoact" localSheetId="10">#REF!</definedName>
    <definedName name="clmeoact" localSheetId="31">#REF!</definedName>
    <definedName name="clmeoact" localSheetId="1">#REF!</definedName>
    <definedName name="clmeoact" localSheetId="32">#REF!</definedName>
    <definedName name="clmeoact" localSheetId="2">#REF!</definedName>
    <definedName name="clmeoact" localSheetId="3">#REF!</definedName>
    <definedName name="clmeoact" localSheetId="9">#REF!</definedName>
    <definedName name="clmeoact" localSheetId="33">#REF!</definedName>
    <definedName name="clmeoact" localSheetId="5">#REF!</definedName>
    <definedName name="clmeoact" localSheetId="34">#REF!</definedName>
    <definedName name="clmeoact" localSheetId="7">#REF!</definedName>
    <definedName name="clmeoact" localSheetId="13">#REF!</definedName>
    <definedName name="clmeoact" localSheetId="17">#REF!</definedName>
    <definedName name="clmeoact" localSheetId="18">#REF!</definedName>
    <definedName name="clmeoact" localSheetId="14">#REF!</definedName>
    <definedName name="clmeoact" localSheetId="19">#REF!</definedName>
    <definedName name="clmeoact" localSheetId="20">#REF!</definedName>
    <definedName name="clmeoact" localSheetId="15">#REF!</definedName>
    <definedName name="clmeoact" localSheetId="21">#REF!</definedName>
    <definedName name="clmeoact" localSheetId="22">#REF!</definedName>
    <definedName name="clmeoact" localSheetId="16">#REF!</definedName>
    <definedName name="clmeoact" localSheetId="23">#REF!</definedName>
    <definedName name="clmeoact" localSheetId="24">#REF!</definedName>
    <definedName name="clmeoact" localSheetId="12">#REF!</definedName>
    <definedName name="clmeoact">#REF!</definedName>
    <definedName name="clmeoytdgoal" localSheetId="26">#REF!</definedName>
    <definedName name="clmeoytdgoal" localSheetId="27">#REF!</definedName>
    <definedName name="clmeoytdgoal" localSheetId="30">#REF!</definedName>
    <definedName name="clmeoytdgoal" localSheetId="25">#REF!</definedName>
    <definedName name="clmeoytdgoal" localSheetId="10">#REF!</definedName>
    <definedName name="clmeoytdgoal" localSheetId="31">#REF!</definedName>
    <definedName name="clmeoytdgoal" localSheetId="1">#REF!</definedName>
    <definedName name="clmeoytdgoal" localSheetId="32">#REF!</definedName>
    <definedName name="clmeoytdgoal" localSheetId="2">#REF!</definedName>
    <definedName name="clmeoytdgoal" localSheetId="3">#REF!</definedName>
    <definedName name="clmeoytdgoal" localSheetId="9">#REF!</definedName>
    <definedName name="clmeoytdgoal" localSheetId="33">#REF!</definedName>
    <definedName name="clmeoytdgoal" localSheetId="5">#REF!</definedName>
    <definedName name="clmeoytdgoal" localSheetId="34">#REF!</definedName>
    <definedName name="clmeoytdgoal" localSheetId="7">#REF!</definedName>
    <definedName name="clmeoytdgoal" localSheetId="13">#REF!</definedName>
    <definedName name="clmeoytdgoal" localSheetId="17">#REF!</definedName>
    <definedName name="clmeoytdgoal" localSheetId="18">#REF!</definedName>
    <definedName name="clmeoytdgoal" localSheetId="14">#REF!</definedName>
    <definedName name="clmeoytdgoal" localSheetId="19">#REF!</definedName>
    <definedName name="clmeoytdgoal" localSheetId="20">#REF!</definedName>
    <definedName name="clmeoytdgoal" localSheetId="15">#REF!</definedName>
    <definedName name="clmeoytdgoal" localSheetId="21">#REF!</definedName>
    <definedName name="clmeoytdgoal" localSheetId="22">#REF!</definedName>
    <definedName name="clmeoytdgoal" localSheetId="16">#REF!</definedName>
    <definedName name="clmeoytdgoal" localSheetId="23">#REF!</definedName>
    <definedName name="clmeoytdgoal" localSheetId="24">#REF!</definedName>
    <definedName name="clmeoytdgoal" localSheetId="12">#REF!</definedName>
    <definedName name="clmeoytdgoal">#REF!</definedName>
    <definedName name="cont" localSheetId="27">#REF!</definedName>
    <definedName name="cont" localSheetId="30">#REF!</definedName>
    <definedName name="cont" localSheetId="10">#REF!</definedName>
    <definedName name="cont" localSheetId="31">#REF!</definedName>
    <definedName name="cont" localSheetId="1">#REF!</definedName>
    <definedName name="cont" localSheetId="32">#REF!</definedName>
    <definedName name="cont" localSheetId="2">#REF!</definedName>
    <definedName name="cont" localSheetId="3">#REF!</definedName>
    <definedName name="cont" localSheetId="9">#REF!</definedName>
    <definedName name="cont" localSheetId="33">#REF!</definedName>
    <definedName name="cont" localSheetId="5">#REF!</definedName>
    <definedName name="cont" localSheetId="34">#REF!</definedName>
    <definedName name="cont" localSheetId="7">#REF!</definedName>
    <definedName name="cont" localSheetId="13">#REF!</definedName>
    <definedName name="cont" localSheetId="17">#REF!</definedName>
    <definedName name="cont" localSheetId="18">#REF!</definedName>
    <definedName name="cont" localSheetId="14">#REF!</definedName>
    <definedName name="cont" localSheetId="19">#REF!</definedName>
    <definedName name="cont" localSheetId="20">#REF!</definedName>
    <definedName name="cont" localSheetId="15">#REF!</definedName>
    <definedName name="cont" localSheetId="21">#REF!</definedName>
    <definedName name="cont" localSheetId="22">#REF!</definedName>
    <definedName name="cont" localSheetId="16">#REF!</definedName>
    <definedName name="cont" localSheetId="23">#REF!</definedName>
    <definedName name="cont" localSheetId="24">#REF!</definedName>
    <definedName name="cont" localSheetId="12">#REF!</definedName>
    <definedName name="cont">#REF!</definedName>
    <definedName name="CycleProjects" localSheetId="31">#REF!,#REF!,#REF!,#REF!,#REF!,#REF!,#REF!,#REF!,#REF!,#REF!,#REF!</definedName>
    <definedName name="CycleProjects" localSheetId="1">#REF!,#REF!,#REF!,#REF!,#REF!,#REF!,#REF!,#REF!,#REF!,#REF!,#REF!</definedName>
    <definedName name="CycleProjects" localSheetId="32">#REF!,#REF!,#REF!,#REF!,#REF!,#REF!,#REF!,#REF!,#REF!,#REF!,#REF!</definedName>
    <definedName name="CycleProjects" localSheetId="2">#REF!,#REF!,#REF!,#REF!,#REF!,#REF!,#REF!,#REF!,#REF!,#REF!,#REF!</definedName>
    <definedName name="CycleProjects" localSheetId="3">#REF!,#REF!,#REF!,#REF!,#REF!,#REF!,#REF!,#REF!,#REF!,#REF!,#REF!</definedName>
    <definedName name="CycleProjects" localSheetId="33">#REF!,#REF!,#REF!,#REF!,#REF!,#REF!,#REF!,#REF!,#REF!,#REF!,#REF!</definedName>
    <definedName name="CycleProjects" localSheetId="5">#REF!,#REF!,#REF!,#REF!,#REF!,#REF!,#REF!,#REF!,#REF!,#REF!,#REF!</definedName>
    <definedName name="CycleProjects" localSheetId="34">#REF!,#REF!,#REF!,#REF!,#REF!,#REF!,#REF!,#REF!,#REF!,#REF!,#REF!</definedName>
    <definedName name="CycleProjects" localSheetId="7">#REF!,#REF!,#REF!,#REF!,#REF!,#REF!,#REF!,#REF!,#REF!,#REF!,#REF!</definedName>
    <definedName name="CycleProjects" localSheetId="13">#REF!,#REF!,#REF!,#REF!,#REF!,#REF!,#REF!,#REF!,#REF!,#REF!,#REF!</definedName>
    <definedName name="CycleProjects" localSheetId="17">#REF!,#REF!,#REF!,#REF!,#REF!,#REF!,#REF!,#REF!,#REF!,#REF!,#REF!</definedName>
    <definedName name="CycleProjects" localSheetId="18">#REF!,#REF!,#REF!,#REF!,#REF!,#REF!,#REF!,#REF!,#REF!,#REF!,#REF!</definedName>
    <definedName name="CycleProjects" localSheetId="14">#REF!,#REF!,#REF!,#REF!,#REF!,#REF!,#REF!,#REF!,#REF!,#REF!,#REF!</definedName>
    <definedName name="CycleProjects" localSheetId="19">#REF!,#REF!,#REF!,#REF!,#REF!,#REF!,#REF!,#REF!,#REF!,#REF!,#REF!</definedName>
    <definedName name="CycleProjects" localSheetId="20">#REF!,#REF!,#REF!,#REF!,#REF!,#REF!,#REF!,#REF!,#REF!,#REF!,#REF!</definedName>
    <definedName name="CycleProjects" localSheetId="15">#REF!,#REF!,#REF!,#REF!,#REF!,#REF!,#REF!,#REF!,#REF!,#REF!,#REF!</definedName>
    <definedName name="CycleProjects" localSheetId="21">#REF!,#REF!,#REF!,#REF!,#REF!,#REF!,#REF!,#REF!,#REF!,#REF!,#REF!</definedName>
    <definedName name="CycleProjects" localSheetId="22">#REF!,#REF!,#REF!,#REF!,#REF!,#REF!,#REF!,#REF!,#REF!,#REF!,#REF!</definedName>
    <definedName name="CycleProjects" localSheetId="16">#REF!,#REF!,#REF!,#REF!,#REF!,#REF!,#REF!,#REF!,#REF!,#REF!,#REF!</definedName>
    <definedName name="CycleProjects" localSheetId="23">#REF!,#REF!,#REF!,#REF!,#REF!,#REF!,#REF!,#REF!,#REF!,#REF!,#REF!</definedName>
    <definedName name="CycleProjects" localSheetId="24">#REF!,#REF!,#REF!,#REF!,#REF!,#REF!,#REF!,#REF!,#REF!,#REF!,#REF!</definedName>
    <definedName name="CycleProjects">#REF!,#REF!,#REF!,#REF!,#REF!,#REF!,#REF!,#REF!,#REF!,#REF!,#REF!</definedName>
    <definedName name="d" localSheetId="27">#REF!</definedName>
    <definedName name="d" localSheetId="30">#REF!</definedName>
    <definedName name="d" localSheetId="10">#REF!</definedName>
    <definedName name="d" localSheetId="31">#REF!</definedName>
    <definedName name="d" localSheetId="1">#REF!</definedName>
    <definedName name="d" localSheetId="32">#REF!</definedName>
    <definedName name="d" localSheetId="2">#REF!</definedName>
    <definedName name="d" localSheetId="3">#REF!</definedName>
    <definedName name="d" localSheetId="9">#REF!</definedName>
    <definedName name="d" localSheetId="33">#REF!</definedName>
    <definedName name="d" localSheetId="5">#REF!</definedName>
    <definedName name="d" localSheetId="34">#REF!</definedName>
    <definedName name="d" localSheetId="7">#REF!</definedName>
    <definedName name="d" localSheetId="13">#REF!</definedName>
    <definedName name="d" localSheetId="17">#REF!</definedName>
    <definedName name="d" localSheetId="18">#REF!</definedName>
    <definedName name="d" localSheetId="14">#REF!</definedName>
    <definedName name="d" localSheetId="19">#REF!</definedName>
    <definedName name="d" localSheetId="20">#REF!</definedName>
    <definedName name="d" localSheetId="15">#REF!</definedName>
    <definedName name="d" localSheetId="21">#REF!</definedName>
    <definedName name="d" localSheetId="22">#REF!</definedName>
    <definedName name="d" localSheetId="16">#REF!</definedName>
    <definedName name="d" localSheetId="23">#REF!</definedName>
    <definedName name="d" localSheetId="24">#REF!</definedName>
    <definedName name="d">#REF!</definedName>
    <definedName name="direct_mail" localSheetId="27">#REF!</definedName>
    <definedName name="direct_mail" localSheetId="30">#REF!</definedName>
    <definedName name="direct_mail" localSheetId="10">#REF!</definedName>
    <definedName name="direct_mail" localSheetId="31">#REF!</definedName>
    <definedName name="direct_mail" localSheetId="1">#REF!</definedName>
    <definedName name="direct_mail" localSheetId="32">#REF!</definedName>
    <definedName name="direct_mail" localSheetId="2">#REF!</definedName>
    <definedName name="direct_mail" localSheetId="3">#REF!</definedName>
    <definedName name="direct_mail" localSheetId="9">#REF!</definedName>
    <definedName name="direct_mail" localSheetId="33">#REF!</definedName>
    <definedName name="direct_mail" localSheetId="5">#REF!</definedName>
    <definedName name="direct_mail" localSheetId="34">#REF!</definedName>
    <definedName name="direct_mail" localSheetId="7">#REF!</definedName>
    <definedName name="direct_mail" localSheetId="13">#REF!</definedName>
    <definedName name="direct_mail" localSheetId="17">#REF!</definedName>
    <definedName name="direct_mail" localSheetId="18">#REF!</definedName>
    <definedName name="direct_mail" localSheetId="14">#REF!</definedName>
    <definedName name="direct_mail" localSheetId="19">#REF!</definedName>
    <definedName name="direct_mail" localSheetId="20">#REF!</definedName>
    <definedName name="direct_mail" localSheetId="15">#REF!</definedName>
    <definedName name="direct_mail" localSheetId="21">#REF!</definedName>
    <definedName name="direct_mail" localSheetId="22">#REF!</definedName>
    <definedName name="direct_mail" localSheetId="16">#REF!</definedName>
    <definedName name="direct_mail" localSheetId="23">#REF!</definedName>
    <definedName name="direct_mail" localSheetId="24">#REF!</definedName>
    <definedName name="direct_mail" localSheetId="12">#REF!</definedName>
    <definedName name="direct_mail">#REF!</definedName>
    <definedName name="DPUC_changes" localSheetId="27">#REF!</definedName>
    <definedName name="DPUC_changes" localSheetId="30">#REF!</definedName>
    <definedName name="DPUC_changes" localSheetId="10">#REF!</definedName>
    <definedName name="DPUC_changes" localSheetId="31">#REF!</definedName>
    <definedName name="DPUC_changes" localSheetId="1">#REF!</definedName>
    <definedName name="DPUC_changes" localSheetId="32">#REF!</definedName>
    <definedName name="DPUC_changes" localSheetId="2">#REF!</definedName>
    <definedName name="DPUC_changes" localSheetId="3">#REF!</definedName>
    <definedName name="DPUC_changes" localSheetId="9">#REF!</definedName>
    <definedName name="DPUC_changes" localSheetId="33">#REF!</definedName>
    <definedName name="DPUC_changes" localSheetId="5">#REF!</definedName>
    <definedName name="DPUC_changes" localSheetId="34">#REF!</definedName>
    <definedName name="DPUC_changes" localSheetId="7">#REF!</definedName>
    <definedName name="DPUC_changes" localSheetId="13">#REF!</definedName>
    <definedName name="DPUC_changes" localSheetId="17">#REF!</definedName>
    <definedName name="DPUC_changes" localSheetId="18">#REF!</definedName>
    <definedName name="DPUC_changes" localSheetId="14">#REF!</definedName>
    <definedName name="DPUC_changes" localSheetId="19">#REF!</definedName>
    <definedName name="DPUC_changes" localSheetId="20">#REF!</definedName>
    <definedName name="DPUC_changes" localSheetId="15">#REF!</definedName>
    <definedName name="DPUC_changes" localSheetId="21">#REF!</definedName>
    <definedName name="DPUC_changes" localSheetId="22">#REF!</definedName>
    <definedName name="DPUC_changes" localSheetId="16">#REF!</definedName>
    <definedName name="DPUC_changes" localSheetId="23">#REF!</definedName>
    <definedName name="DPUC_changes" localSheetId="24">#REF!</definedName>
    <definedName name="DPUC_changes" localSheetId="12">'[1]CLM Programs'!#REF!</definedName>
    <definedName name="DPUC_changes">#REF!</definedName>
    <definedName name="DPUC_Market_adj" localSheetId="27">#REF!</definedName>
    <definedName name="DPUC_Market_adj" localSheetId="30">#REF!</definedName>
    <definedName name="DPUC_Market_adj" localSheetId="10">#REF!</definedName>
    <definedName name="DPUC_Market_adj" localSheetId="31">#REF!</definedName>
    <definedName name="DPUC_Market_adj" localSheetId="1">#REF!</definedName>
    <definedName name="DPUC_Market_adj" localSheetId="32">#REF!</definedName>
    <definedName name="DPUC_Market_adj" localSheetId="2">#REF!</definedName>
    <definedName name="DPUC_Market_adj" localSheetId="3">#REF!</definedName>
    <definedName name="DPUC_Market_adj" localSheetId="9">#REF!</definedName>
    <definedName name="DPUC_Market_adj" localSheetId="33">#REF!</definedName>
    <definedName name="DPUC_Market_adj" localSheetId="5">#REF!</definedName>
    <definedName name="DPUC_Market_adj" localSheetId="34">#REF!</definedName>
    <definedName name="DPUC_Market_adj" localSheetId="7">#REF!</definedName>
    <definedName name="DPUC_Market_adj" localSheetId="13">#REF!</definedName>
    <definedName name="DPUC_Market_adj" localSheetId="17">#REF!</definedName>
    <definedName name="DPUC_Market_adj" localSheetId="18">#REF!</definedName>
    <definedName name="DPUC_Market_adj" localSheetId="14">#REF!</definedName>
    <definedName name="DPUC_Market_adj" localSheetId="19">#REF!</definedName>
    <definedName name="DPUC_Market_adj" localSheetId="20">#REF!</definedName>
    <definedName name="DPUC_Market_adj" localSheetId="15">#REF!</definedName>
    <definedName name="DPUC_Market_adj" localSheetId="21">#REF!</definedName>
    <definedName name="DPUC_Market_adj" localSheetId="22">#REF!</definedName>
    <definedName name="DPUC_Market_adj" localSheetId="16">#REF!</definedName>
    <definedName name="DPUC_Market_adj" localSheetId="23">#REF!</definedName>
    <definedName name="DPUC_Market_adj" localSheetId="24">#REF!</definedName>
    <definedName name="DPUC_Market_adj" localSheetId="12">'[1]CLM Programs'!#REF!</definedName>
    <definedName name="DPUC_Market_adj">#REF!</definedName>
    <definedName name="e" localSheetId="27">#REF!</definedName>
    <definedName name="e" localSheetId="30">#REF!</definedName>
    <definedName name="e" localSheetId="10">#REF!</definedName>
    <definedName name="e" localSheetId="31">#REF!</definedName>
    <definedName name="e" localSheetId="1">#REF!</definedName>
    <definedName name="e" localSheetId="32">#REF!</definedName>
    <definedName name="e" localSheetId="2">#REF!</definedName>
    <definedName name="e" localSheetId="3">#REF!</definedName>
    <definedName name="e" localSheetId="9">#REF!</definedName>
    <definedName name="e" localSheetId="33">#REF!</definedName>
    <definedName name="e" localSheetId="5">#REF!</definedName>
    <definedName name="e" localSheetId="34">#REF!</definedName>
    <definedName name="e" localSheetId="7">#REF!</definedName>
    <definedName name="e" localSheetId="13">#REF!</definedName>
    <definedName name="e" localSheetId="17">#REF!</definedName>
    <definedName name="e" localSheetId="18">#REF!</definedName>
    <definedName name="e" localSheetId="14">#REF!</definedName>
    <definedName name="e" localSheetId="19">#REF!</definedName>
    <definedName name="e" localSheetId="20">#REF!</definedName>
    <definedName name="e" localSheetId="15">#REF!</definedName>
    <definedName name="e" localSheetId="21">#REF!</definedName>
    <definedName name="e" localSheetId="22">#REF!</definedName>
    <definedName name="e" localSheetId="16">#REF!</definedName>
    <definedName name="e" localSheetId="23">#REF!</definedName>
    <definedName name="e" localSheetId="24">#REF!</definedName>
    <definedName name="e">#REF!</definedName>
    <definedName name="ebactual" localSheetId="26">#REF!</definedName>
    <definedName name="ebactual" localSheetId="27">#REF!</definedName>
    <definedName name="ebactual" localSheetId="30">#REF!</definedName>
    <definedName name="ebactual" localSheetId="25">#REF!</definedName>
    <definedName name="ebactual" localSheetId="10">#REF!</definedName>
    <definedName name="ebactual" localSheetId="31">#REF!</definedName>
    <definedName name="ebactual" localSheetId="1">#REF!</definedName>
    <definedName name="ebactual" localSheetId="32">#REF!</definedName>
    <definedName name="ebactual" localSheetId="2">#REF!</definedName>
    <definedName name="ebactual" localSheetId="3">#REF!</definedName>
    <definedName name="ebactual" localSheetId="9">#REF!</definedName>
    <definedName name="ebactual" localSheetId="33">#REF!</definedName>
    <definedName name="ebactual" localSheetId="5">#REF!</definedName>
    <definedName name="ebactual" localSheetId="34">#REF!</definedName>
    <definedName name="ebactual" localSheetId="7">#REF!</definedName>
    <definedName name="ebactual" localSheetId="13">#REF!</definedName>
    <definedName name="ebactual" localSheetId="17">#REF!</definedName>
    <definedName name="ebactual" localSheetId="18">#REF!</definedName>
    <definedName name="ebactual" localSheetId="14">#REF!</definedName>
    <definedName name="ebactual" localSheetId="19">#REF!</definedName>
    <definedName name="ebactual" localSheetId="20">#REF!</definedName>
    <definedName name="ebactual" localSheetId="15">#REF!</definedName>
    <definedName name="ebactual" localSheetId="21">#REF!</definedName>
    <definedName name="ebactual" localSheetId="22">#REF!</definedName>
    <definedName name="ebactual" localSheetId="16">#REF!</definedName>
    <definedName name="ebactual" localSheetId="23">#REF!</definedName>
    <definedName name="ebactual" localSheetId="24">#REF!</definedName>
    <definedName name="ebactual" localSheetId="12">#REF!</definedName>
    <definedName name="ebactual">#REF!</definedName>
    <definedName name="ebbudget" localSheetId="26">#REF!</definedName>
    <definedName name="ebbudget" localSheetId="27">#REF!</definedName>
    <definedName name="ebbudget" localSheetId="30">#REF!</definedName>
    <definedName name="ebbudget" localSheetId="25">#REF!</definedName>
    <definedName name="ebbudget" localSheetId="10">#REF!</definedName>
    <definedName name="ebbudget" localSheetId="31">#REF!</definedName>
    <definedName name="ebbudget" localSheetId="1">#REF!</definedName>
    <definedName name="ebbudget" localSheetId="32">#REF!</definedName>
    <definedName name="ebbudget" localSheetId="2">#REF!</definedName>
    <definedName name="ebbudget" localSheetId="3">#REF!</definedName>
    <definedName name="ebbudget" localSheetId="9">#REF!</definedName>
    <definedName name="ebbudget" localSheetId="33">#REF!</definedName>
    <definedName name="ebbudget" localSheetId="5">#REF!</definedName>
    <definedName name="ebbudget" localSheetId="34">#REF!</definedName>
    <definedName name="ebbudget" localSheetId="7">#REF!</definedName>
    <definedName name="ebbudget" localSheetId="13">#REF!</definedName>
    <definedName name="ebbudget" localSheetId="17">#REF!</definedName>
    <definedName name="ebbudget" localSheetId="18">#REF!</definedName>
    <definedName name="ebbudget" localSheetId="14">#REF!</definedName>
    <definedName name="ebbudget" localSheetId="19">#REF!</definedName>
    <definedName name="ebbudget" localSheetId="20">#REF!</definedName>
    <definedName name="ebbudget" localSheetId="15">#REF!</definedName>
    <definedName name="ebbudget" localSheetId="21">#REF!</definedName>
    <definedName name="ebbudget" localSheetId="22">#REF!</definedName>
    <definedName name="ebbudget" localSheetId="16">#REF!</definedName>
    <definedName name="ebbudget" localSheetId="23">#REF!</definedName>
    <definedName name="ebbudget" localSheetId="24">#REF!</definedName>
    <definedName name="ebbudget" localSheetId="12">#REF!</definedName>
    <definedName name="ebbudget">#REF!</definedName>
    <definedName name="ebsepbud" localSheetId="26">#REF!</definedName>
    <definedName name="ebsepbud" localSheetId="27">#REF!</definedName>
    <definedName name="ebsepbud" localSheetId="30">#REF!</definedName>
    <definedName name="ebsepbud" localSheetId="25">#REF!</definedName>
    <definedName name="ebsepbud" localSheetId="10">#REF!</definedName>
    <definedName name="ebsepbud" localSheetId="31">#REF!</definedName>
    <definedName name="ebsepbud" localSheetId="1">#REF!</definedName>
    <definedName name="ebsepbud" localSheetId="32">#REF!</definedName>
    <definedName name="ebsepbud" localSheetId="2">#REF!</definedName>
    <definedName name="ebsepbud" localSheetId="3">#REF!</definedName>
    <definedName name="ebsepbud" localSheetId="9">#REF!</definedName>
    <definedName name="ebsepbud" localSheetId="33">#REF!</definedName>
    <definedName name="ebsepbud" localSheetId="5">#REF!</definedName>
    <definedName name="ebsepbud" localSheetId="34">#REF!</definedName>
    <definedName name="ebsepbud" localSheetId="7">#REF!</definedName>
    <definedName name="ebsepbud" localSheetId="13">#REF!</definedName>
    <definedName name="ebsepbud" localSheetId="17">#REF!</definedName>
    <definedName name="ebsepbud" localSheetId="18">#REF!</definedName>
    <definedName name="ebsepbud" localSheetId="14">#REF!</definedName>
    <definedName name="ebsepbud" localSheetId="19">#REF!</definedName>
    <definedName name="ebsepbud" localSheetId="20">#REF!</definedName>
    <definedName name="ebsepbud" localSheetId="15">#REF!</definedName>
    <definedName name="ebsepbud" localSheetId="21">#REF!</definedName>
    <definedName name="ebsepbud" localSheetId="22">#REF!</definedName>
    <definedName name="ebsepbud" localSheetId="16">#REF!</definedName>
    <definedName name="ebsepbud" localSheetId="23">#REF!</definedName>
    <definedName name="ebsepbud" localSheetId="24">#REF!</definedName>
    <definedName name="ebsepbud" localSheetId="12">#REF!</definedName>
    <definedName name="ebsepbud">#REF!</definedName>
    <definedName name="ebsepfor" localSheetId="26">#REF!</definedName>
    <definedName name="ebsepfor" localSheetId="27">#REF!</definedName>
    <definedName name="ebsepfor" localSheetId="30">#REF!</definedName>
    <definedName name="ebsepfor" localSheetId="25">#REF!</definedName>
    <definedName name="ebsepfor" localSheetId="10">#REF!</definedName>
    <definedName name="ebsepfor" localSheetId="31">#REF!</definedName>
    <definedName name="ebsepfor" localSheetId="1">#REF!</definedName>
    <definedName name="ebsepfor" localSheetId="32">#REF!</definedName>
    <definedName name="ebsepfor" localSheetId="2">#REF!</definedName>
    <definedName name="ebsepfor" localSheetId="3">#REF!</definedName>
    <definedName name="ebsepfor" localSheetId="9">#REF!</definedName>
    <definedName name="ebsepfor" localSheetId="33">#REF!</definedName>
    <definedName name="ebsepfor" localSheetId="5">#REF!</definedName>
    <definedName name="ebsepfor" localSheetId="34">#REF!</definedName>
    <definedName name="ebsepfor" localSheetId="7">#REF!</definedName>
    <definedName name="ebsepfor" localSheetId="13">#REF!</definedName>
    <definedName name="ebsepfor" localSheetId="17">#REF!</definedName>
    <definedName name="ebsepfor" localSheetId="18">#REF!</definedName>
    <definedName name="ebsepfor" localSheetId="14">#REF!</definedName>
    <definedName name="ebsepfor" localSheetId="19">#REF!</definedName>
    <definedName name="ebsepfor" localSheetId="20">#REF!</definedName>
    <definedName name="ebsepfor" localSheetId="15">#REF!</definedName>
    <definedName name="ebsepfor" localSheetId="21">#REF!</definedName>
    <definedName name="ebsepfor" localSheetId="22">#REF!</definedName>
    <definedName name="ebsepfor" localSheetId="16">#REF!</definedName>
    <definedName name="ebsepfor" localSheetId="23">#REF!</definedName>
    <definedName name="ebsepfor" localSheetId="24">#REF!</definedName>
    <definedName name="ebsepfor" localSheetId="12">#REF!</definedName>
    <definedName name="ebsepfor">#REF!</definedName>
    <definedName name="ebytd" localSheetId="26">#REF!</definedName>
    <definedName name="ebytd" localSheetId="27">#REF!</definedName>
    <definedName name="ebytd" localSheetId="30">#REF!</definedName>
    <definedName name="ebytd" localSheetId="25">#REF!</definedName>
    <definedName name="ebytd" localSheetId="10">#REF!</definedName>
    <definedName name="ebytd" localSheetId="31">#REF!</definedName>
    <definedName name="ebytd" localSheetId="1">#REF!</definedName>
    <definedName name="ebytd" localSheetId="32">#REF!</definedName>
    <definedName name="ebytd" localSheetId="2">#REF!</definedName>
    <definedName name="ebytd" localSheetId="3">#REF!</definedName>
    <definedName name="ebytd" localSheetId="9">#REF!</definedName>
    <definedName name="ebytd" localSheetId="33">#REF!</definedName>
    <definedName name="ebytd" localSheetId="5">#REF!</definedName>
    <definedName name="ebytd" localSheetId="34">#REF!</definedName>
    <definedName name="ebytd" localSheetId="7">#REF!</definedName>
    <definedName name="ebytd" localSheetId="13">#REF!</definedName>
    <definedName name="ebytd" localSheetId="17">#REF!</definedName>
    <definedName name="ebytd" localSheetId="18">#REF!</definedName>
    <definedName name="ebytd" localSheetId="14">#REF!</definedName>
    <definedName name="ebytd" localSheetId="19">#REF!</definedName>
    <definedName name="ebytd" localSheetId="20">#REF!</definedName>
    <definedName name="ebytd" localSheetId="15">#REF!</definedName>
    <definedName name="ebytd" localSheetId="21">#REF!</definedName>
    <definedName name="ebytd" localSheetId="22">#REF!</definedName>
    <definedName name="ebytd" localSheetId="16">#REF!</definedName>
    <definedName name="ebytd" localSheetId="23">#REF!</definedName>
    <definedName name="ebytd" localSheetId="24">#REF!</definedName>
    <definedName name="ebytd" localSheetId="12">#REF!</definedName>
    <definedName name="ebytd">#REF!</definedName>
    <definedName name="ebytdgoal" localSheetId="27">#REF!</definedName>
    <definedName name="ebytdgoal" localSheetId="30">#REF!</definedName>
    <definedName name="ebytdgoal" localSheetId="10">#REF!</definedName>
    <definedName name="ebytdgoal" localSheetId="31">#REF!</definedName>
    <definedName name="ebytdgoal" localSheetId="1">#REF!</definedName>
    <definedName name="ebytdgoal" localSheetId="32">#REF!</definedName>
    <definedName name="ebytdgoal" localSheetId="2">#REF!</definedName>
    <definedName name="ebytdgoal" localSheetId="3">#REF!</definedName>
    <definedName name="ebytdgoal" localSheetId="9">#REF!</definedName>
    <definedName name="ebytdgoal" localSheetId="33">#REF!</definedName>
    <definedName name="ebytdgoal" localSheetId="5">#REF!</definedName>
    <definedName name="ebytdgoal" localSheetId="34">#REF!</definedName>
    <definedName name="ebytdgoal" localSheetId="7">#REF!</definedName>
    <definedName name="ebytdgoal" localSheetId="13">#REF!</definedName>
    <definedName name="ebytdgoal" localSheetId="17">#REF!</definedName>
    <definedName name="ebytdgoal" localSheetId="18">#REF!</definedName>
    <definedName name="ebytdgoal" localSheetId="14">#REF!</definedName>
    <definedName name="ebytdgoal" localSheetId="19">#REF!</definedName>
    <definedName name="ebytdgoal" localSheetId="20">#REF!</definedName>
    <definedName name="ebytdgoal" localSheetId="15">#REF!</definedName>
    <definedName name="ebytdgoal" localSheetId="21">#REF!</definedName>
    <definedName name="ebytdgoal" localSheetId="22">#REF!</definedName>
    <definedName name="ebytdgoal" localSheetId="16">#REF!</definedName>
    <definedName name="ebytdgoal" localSheetId="23">#REF!</definedName>
    <definedName name="ebytdgoal" localSheetId="24">#REF!</definedName>
    <definedName name="ebytdgoal" localSheetId="12">#REF!</definedName>
    <definedName name="ebytdgoal">#REF!</definedName>
    <definedName name="eegoal" localSheetId="27">#REF!</definedName>
    <definedName name="eegoal" localSheetId="30">#REF!</definedName>
    <definedName name="eegoal" localSheetId="10">#REF!</definedName>
    <definedName name="eegoal" localSheetId="31">#REF!</definedName>
    <definedName name="eegoal" localSheetId="1">#REF!</definedName>
    <definedName name="eegoal" localSheetId="32">#REF!</definedName>
    <definedName name="eegoal" localSheetId="2">#REF!</definedName>
    <definedName name="eegoal" localSheetId="3">#REF!</definedName>
    <definedName name="eegoal" localSheetId="9">#REF!</definedName>
    <definedName name="eegoal" localSheetId="33">#REF!</definedName>
    <definedName name="eegoal" localSheetId="5">#REF!</definedName>
    <definedName name="eegoal" localSheetId="34">#REF!</definedName>
    <definedName name="eegoal" localSheetId="7">#REF!</definedName>
    <definedName name="eegoal" localSheetId="13">#REF!</definedName>
    <definedName name="eegoal" localSheetId="17">#REF!</definedName>
    <definedName name="eegoal" localSheetId="18">#REF!</definedName>
    <definedName name="eegoal" localSheetId="14">#REF!</definedName>
    <definedName name="eegoal" localSheetId="19">#REF!</definedName>
    <definedName name="eegoal" localSheetId="20">#REF!</definedName>
    <definedName name="eegoal" localSheetId="15">#REF!</definedName>
    <definedName name="eegoal" localSheetId="21">#REF!</definedName>
    <definedName name="eegoal" localSheetId="22">#REF!</definedName>
    <definedName name="eegoal" localSheetId="16">#REF!</definedName>
    <definedName name="eegoal" localSheetId="23">#REF!</definedName>
    <definedName name="eegoal" localSheetId="24">#REF!</definedName>
    <definedName name="eegoal" localSheetId="12">#REF!</definedName>
    <definedName name="eegoal">#REF!</definedName>
    <definedName name="eeperc" localSheetId="27">#REF!</definedName>
    <definedName name="eeperc" localSheetId="30">#REF!</definedName>
    <definedName name="eeperc" localSheetId="10">#REF!</definedName>
    <definedName name="eeperc" localSheetId="31">#REF!</definedName>
    <definedName name="eeperc" localSheetId="1">#REF!</definedName>
    <definedName name="eeperc" localSheetId="32">#REF!</definedName>
    <definedName name="eeperc" localSheetId="2">#REF!</definedName>
    <definedName name="eeperc" localSheetId="3">#REF!</definedName>
    <definedName name="eeperc" localSheetId="9">#REF!</definedName>
    <definedName name="eeperc" localSheetId="33">#REF!</definedName>
    <definedName name="eeperc" localSheetId="5">#REF!</definedName>
    <definedName name="eeperc" localSheetId="34">#REF!</definedName>
    <definedName name="eeperc" localSheetId="7">#REF!</definedName>
    <definedName name="eeperc" localSheetId="13">#REF!</definedName>
    <definedName name="eeperc" localSheetId="17">#REF!</definedName>
    <definedName name="eeperc" localSheetId="18">#REF!</definedName>
    <definedName name="eeperc" localSheetId="14">#REF!</definedName>
    <definedName name="eeperc" localSheetId="19">#REF!</definedName>
    <definedName name="eeperc" localSheetId="20">#REF!</definedName>
    <definedName name="eeperc" localSheetId="15">#REF!</definedName>
    <definedName name="eeperc" localSheetId="21">#REF!</definedName>
    <definedName name="eeperc" localSheetId="22">#REF!</definedName>
    <definedName name="eeperc" localSheetId="16">#REF!</definedName>
    <definedName name="eeperc" localSheetId="23">#REF!</definedName>
    <definedName name="eeperc" localSheetId="24">#REF!</definedName>
    <definedName name="eeperc" localSheetId="12">#REF!</definedName>
    <definedName name="eeperc">#REF!</definedName>
    <definedName name="eoomact" localSheetId="26">'[2]Attachment EL-17-1 Page 2 of 2'!#REF!</definedName>
    <definedName name="eoomact" localSheetId="27">'[2]Attachment EL-17-1 Page 2 of 2'!#REF!</definedName>
    <definedName name="eoomact" localSheetId="30">'[2]Attachment EL-17-1 Page 2 of 2'!#REF!</definedName>
    <definedName name="eoomact" localSheetId="25">'[2]Attachment EL-17-1 Page 2 of 2'!#REF!</definedName>
    <definedName name="eoomact" localSheetId="31">'[2]Attachment EL-17-1 Page 2 of 2'!#REF!</definedName>
    <definedName name="eoomact" localSheetId="1">'[2]Attachment EL-17-1 Page 2 of 2'!#REF!</definedName>
    <definedName name="eoomact" localSheetId="0">'[2]Attachment EL-17-1 Page 2 of 2'!#REF!</definedName>
    <definedName name="eoomact" localSheetId="32">'[2]Attachment EL-17-1 Page 2 of 2'!#REF!</definedName>
    <definedName name="eoomact" localSheetId="2">'[2]Attachment EL-17-1 Page 2 of 2'!#REF!</definedName>
    <definedName name="eoomact" localSheetId="3">'[2]Attachment EL-17-1 Page 2 of 2'!#REF!</definedName>
    <definedName name="eoomact" localSheetId="33">'[2]Attachment EL-17-1 Page 2 of 2'!#REF!</definedName>
    <definedName name="eoomact" localSheetId="5">'[2]Attachment EL-17-1 Page 2 of 2'!#REF!</definedName>
    <definedName name="eoomact" localSheetId="34">'[2]Attachment EL-17-1 Page 2 of 2'!#REF!</definedName>
    <definedName name="eoomact" localSheetId="7">'[2]Attachment EL-17-1 Page 2 of 2'!#REF!</definedName>
    <definedName name="eoomact" localSheetId="13">'[2]Attachment EL-17-1 Page 2 of 2'!#REF!</definedName>
    <definedName name="eoomact" localSheetId="17">'[2]Attachment EL-17-1 Page 2 of 2'!#REF!</definedName>
    <definedName name="eoomact" localSheetId="18">'[2]Attachment EL-17-1 Page 2 of 2'!#REF!</definedName>
    <definedName name="eoomact" localSheetId="14">'[2]Attachment EL-17-1 Page 2 of 2'!#REF!</definedName>
    <definedName name="eoomact" localSheetId="19">'[2]Attachment EL-17-1 Page 2 of 2'!#REF!</definedName>
    <definedName name="eoomact" localSheetId="20">'[2]Attachment EL-17-1 Page 2 of 2'!#REF!</definedName>
    <definedName name="eoomact" localSheetId="15">'[2]Attachment EL-17-1 Page 2 of 2'!#REF!</definedName>
    <definedName name="eoomact" localSheetId="21">'[2]Attachment EL-17-1 Page 2 of 2'!#REF!</definedName>
    <definedName name="eoomact" localSheetId="22">'[2]Attachment EL-17-1 Page 2 of 2'!#REF!</definedName>
    <definedName name="eoomact" localSheetId="16">'[2]Attachment EL-17-1 Page 2 of 2'!#REF!</definedName>
    <definedName name="eoomact" localSheetId="23">'[2]Attachment EL-17-1 Page 2 of 2'!#REF!</definedName>
    <definedName name="eoomact" localSheetId="24">'[2]Attachment EL-17-1 Page 2 of 2'!#REF!</definedName>
    <definedName name="eoomact" localSheetId="12">'[2]Attachment EL-17-1 Page 2 of 2'!#REF!</definedName>
    <definedName name="eoomact">'[2]Attachment EL-17-1 Page 2 of 2'!#REF!</definedName>
    <definedName name="eoytd" localSheetId="26">#REF!</definedName>
    <definedName name="eoytd" localSheetId="27">#REF!</definedName>
    <definedName name="eoytd" localSheetId="30">#REF!</definedName>
    <definedName name="eoytd" localSheetId="25">#REF!</definedName>
    <definedName name="eoytd" localSheetId="10">#REF!</definedName>
    <definedName name="eoytd" localSheetId="31">#REF!</definedName>
    <definedName name="eoytd" localSheetId="1">#REF!</definedName>
    <definedName name="eoytd" localSheetId="32">#REF!</definedName>
    <definedName name="eoytd" localSheetId="2">#REF!</definedName>
    <definedName name="eoytd" localSheetId="3">#REF!</definedName>
    <definedName name="eoytd" localSheetId="9">#REF!</definedName>
    <definedName name="eoytd" localSheetId="33">#REF!</definedName>
    <definedName name="eoytd" localSheetId="5">#REF!</definedName>
    <definedName name="eoytd" localSheetId="34">#REF!</definedName>
    <definedName name="eoytd" localSheetId="7">#REF!</definedName>
    <definedName name="eoytd" localSheetId="13">#REF!</definedName>
    <definedName name="eoytd" localSheetId="17">#REF!</definedName>
    <definedName name="eoytd" localSheetId="18">#REF!</definedName>
    <definedName name="eoytd" localSheetId="14">#REF!</definedName>
    <definedName name="eoytd" localSheetId="19">#REF!</definedName>
    <definedName name="eoytd" localSheetId="20">#REF!</definedName>
    <definedName name="eoytd" localSheetId="15">#REF!</definedName>
    <definedName name="eoytd" localSheetId="21">#REF!</definedName>
    <definedName name="eoytd" localSheetId="22">#REF!</definedName>
    <definedName name="eoytd" localSheetId="16">#REF!</definedName>
    <definedName name="eoytd" localSheetId="23">#REF!</definedName>
    <definedName name="eoytd" localSheetId="24">#REF!</definedName>
    <definedName name="eoytd" localSheetId="12">#REF!</definedName>
    <definedName name="eoytd">#REF!</definedName>
    <definedName name="eoytdgoal" localSheetId="27">#REF!</definedName>
    <definedName name="eoytdgoal" localSheetId="30">#REF!</definedName>
    <definedName name="eoytdgoal" localSheetId="10">#REF!</definedName>
    <definedName name="eoytdgoal" localSheetId="31">#REF!</definedName>
    <definedName name="eoytdgoal" localSheetId="1">#REF!</definedName>
    <definedName name="eoytdgoal" localSheetId="32">#REF!</definedName>
    <definedName name="eoytdgoal" localSheetId="2">#REF!</definedName>
    <definedName name="eoytdgoal" localSheetId="3">#REF!</definedName>
    <definedName name="eoytdgoal" localSheetId="9">#REF!</definedName>
    <definedName name="eoytdgoal" localSheetId="33">#REF!</definedName>
    <definedName name="eoytdgoal" localSheetId="5">#REF!</definedName>
    <definedName name="eoytdgoal" localSheetId="34">#REF!</definedName>
    <definedName name="eoytdgoal" localSheetId="7">#REF!</definedName>
    <definedName name="eoytdgoal" localSheetId="13">#REF!</definedName>
    <definedName name="eoytdgoal" localSheetId="17">#REF!</definedName>
    <definedName name="eoytdgoal" localSheetId="18">#REF!</definedName>
    <definedName name="eoytdgoal" localSheetId="14">#REF!</definedName>
    <definedName name="eoytdgoal" localSheetId="19">#REF!</definedName>
    <definedName name="eoytdgoal" localSheetId="20">#REF!</definedName>
    <definedName name="eoytdgoal" localSheetId="15">#REF!</definedName>
    <definedName name="eoytdgoal" localSheetId="21">#REF!</definedName>
    <definedName name="eoytdgoal" localSheetId="22">#REF!</definedName>
    <definedName name="eoytdgoal" localSheetId="16">#REF!</definedName>
    <definedName name="eoytdgoal" localSheetId="23">#REF!</definedName>
    <definedName name="eoytdgoal" localSheetId="24">#REF!</definedName>
    <definedName name="eoytdgoal" localSheetId="12">#REF!</definedName>
    <definedName name="eoytdgoal">#REF!</definedName>
    <definedName name="esytd" localSheetId="26">#REF!</definedName>
    <definedName name="esytd" localSheetId="27">#REF!</definedName>
    <definedName name="esytd" localSheetId="30">#REF!</definedName>
    <definedName name="esytd" localSheetId="25">#REF!</definedName>
    <definedName name="esytd" localSheetId="10">#REF!</definedName>
    <definedName name="esytd" localSheetId="31">#REF!</definedName>
    <definedName name="esytd" localSheetId="1">#REF!</definedName>
    <definedName name="esytd" localSheetId="32">#REF!</definedName>
    <definedName name="esytd" localSheetId="2">#REF!</definedName>
    <definedName name="esytd" localSheetId="3">#REF!</definedName>
    <definedName name="esytd" localSheetId="9">#REF!</definedName>
    <definedName name="esytd" localSheetId="33">#REF!</definedName>
    <definedName name="esytd" localSheetId="5">#REF!</definedName>
    <definedName name="esytd" localSheetId="34">#REF!</definedName>
    <definedName name="esytd" localSheetId="7">#REF!</definedName>
    <definedName name="esytd" localSheetId="13">#REF!</definedName>
    <definedName name="esytd" localSheetId="17">#REF!</definedName>
    <definedName name="esytd" localSheetId="18">#REF!</definedName>
    <definedName name="esytd" localSheetId="14">#REF!</definedName>
    <definedName name="esytd" localSheetId="19">#REF!</definedName>
    <definedName name="esytd" localSheetId="20">#REF!</definedName>
    <definedName name="esytd" localSheetId="15">#REF!</definedName>
    <definedName name="esytd" localSheetId="21">#REF!</definedName>
    <definedName name="esytd" localSheetId="22">#REF!</definedName>
    <definedName name="esytd" localSheetId="16">#REF!</definedName>
    <definedName name="esytd" localSheetId="23">#REF!</definedName>
    <definedName name="esytd" localSheetId="24">#REF!</definedName>
    <definedName name="esytd" localSheetId="12">#REF!</definedName>
    <definedName name="esytd">#REF!</definedName>
    <definedName name="gg" localSheetId="12" hidden="1">{#N/A,#N/A,FALSE,"GLDwnLoad"}</definedName>
    <definedName name="gg" hidden="1">{#N/A,#N/A,FALSE,"GLDwnLoad"}</definedName>
    <definedName name="gl" localSheetId="12" hidden="1">{#N/A,#N/A,FALSE,"GLDwnLoad"}</definedName>
    <definedName name="gl" hidden="1">{#N/A,#N/A,FALSE,"GLDwnLoad"}</definedName>
    <definedName name="helpsytd" localSheetId="26">#REF!</definedName>
    <definedName name="helpsytd" localSheetId="27">#REF!</definedName>
    <definedName name="helpsytd" localSheetId="30">#REF!</definedName>
    <definedName name="helpsytd" localSheetId="25">#REF!</definedName>
    <definedName name="helpsytd" localSheetId="10">#REF!</definedName>
    <definedName name="helpsytd" localSheetId="31">#REF!</definedName>
    <definedName name="helpsytd" localSheetId="1">#REF!</definedName>
    <definedName name="helpsytd" localSheetId="32">#REF!</definedName>
    <definedName name="helpsytd" localSheetId="2">#REF!</definedName>
    <definedName name="helpsytd" localSheetId="3">#REF!</definedName>
    <definedName name="helpsytd" localSheetId="9">#REF!</definedName>
    <definedName name="helpsytd" localSheetId="33">#REF!</definedName>
    <definedName name="helpsytd" localSheetId="5">#REF!</definedName>
    <definedName name="helpsytd" localSheetId="34">#REF!</definedName>
    <definedName name="helpsytd" localSheetId="7">#REF!</definedName>
    <definedName name="helpsytd" localSheetId="13">#REF!</definedName>
    <definedName name="helpsytd" localSheetId="17">#REF!</definedName>
    <definedName name="helpsytd" localSheetId="18">#REF!</definedName>
    <definedName name="helpsytd" localSheetId="14">#REF!</definedName>
    <definedName name="helpsytd" localSheetId="19">#REF!</definedName>
    <definedName name="helpsytd" localSheetId="20">#REF!</definedName>
    <definedName name="helpsytd" localSheetId="15">#REF!</definedName>
    <definedName name="helpsytd" localSheetId="21">#REF!</definedName>
    <definedName name="helpsytd" localSheetId="22">#REF!</definedName>
    <definedName name="helpsytd" localSheetId="16">#REF!</definedName>
    <definedName name="helpsytd" localSheetId="23">#REF!</definedName>
    <definedName name="helpsytd" localSheetId="24">#REF!</definedName>
    <definedName name="helpsytd" localSheetId="12">#REF!</definedName>
    <definedName name="helpsytd">#REF!</definedName>
    <definedName name="helpsytdgoal" localSheetId="27">#REF!</definedName>
    <definedName name="helpsytdgoal" localSheetId="30">#REF!</definedName>
    <definedName name="helpsytdgoal" localSheetId="10">#REF!</definedName>
    <definedName name="helpsytdgoal" localSheetId="31">#REF!</definedName>
    <definedName name="helpsytdgoal" localSheetId="1">#REF!</definedName>
    <definedName name="helpsytdgoal" localSheetId="32">#REF!</definedName>
    <definedName name="helpsytdgoal" localSheetId="2">#REF!</definedName>
    <definedName name="helpsytdgoal" localSheetId="3">#REF!</definedName>
    <definedName name="helpsytdgoal" localSheetId="9">#REF!</definedName>
    <definedName name="helpsytdgoal" localSheetId="33">#REF!</definedName>
    <definedName name="helpsytdgoal" localSheetId="5">#REF!</definedName>
    <definedName name="helpsytdgoal" localSheetId="34">#REF!</definedName>
    <definedName name="helpsytdgoal" localSheetId="7">#REF!</definedName>
    <definedName name="helpsytdgoal" localSheetId="13">#REF!</definedName>
    <definedName name="helpsytdgoal" localSheetId="17">#REF!</definedName>
    <definedName name="helpsytdgoal" localSheetId="18">#REF!</definedName>
    <definedName name="helpsytdgoal" localSheetId="14">#REF!</definedName>
    <definedName name="helpsytdgoal" localSheetId="19">#REF!</definedName>
    <definedName name="helpsytdgoal" localSheetId="20">#REF!</definedName>
    <definedName name="helpsytdgoal" localSheetId="15">#REF!</definedName>
    <definedName name="helpsytdgoal" localSheetId="21">#REF!</definedName>
    <definedName name="helpsytdgoal" localSheetId="22">#REF!</definedName>
    <definedName name="helpsytdgoal" localSheetId="16">#REF!</definedName>
    <definedName name="helpsytdgoal" localSheetId="23">#REF!</definedName>
    <definedName name="helpsytdgoal" localSheetId="24">#REF!</definedName>
    <definedName name="helpsytdgoal" localSheetId="12">#REF!</definedName>
    <definedName name="helpsytdgoal">#REF!</definedName>
    <definedName name="homesytd" localSheetId="26">#REF!</definedName>
    <definedName name="homesytd" localSheetId="27">#REF!</definedName>
    <definedName name="homesytd" localSheetId="30">#REF!</definedName>
    <definedName name="homesytd" localSheetId="25">#REF!</definedName>
    <definedName name="homesytd" localSheetId="10">#REF!</definedName>
    <definedName name="homesytd" localSheetId="31">#REF!</definedName>
    <definedName name="homesytd" localSheetId="1">#REF!</definedName>
    <definedName name="homesytd" localSheetId="32">#REF!</definedName>
    <definedName name="homesytd" localSheetId="2">#REF!</definedName>
    <definedName name="homesytd" localSheetId="3">#REF!</definedName>
    <definedName name="homesytd" localSheetId="9">#REF!</definedName>
    <definedName name="homesytd" localSheetId="33">#REF!</definedName>
    <definedName name="homesytd" localSheetId="5">#REF!</definedName>
    <definedName name="homesytd" localSheetId="34">#REF!</definedName>
    <definedName name="homesytd" localSheetId="7">#REF!</definedName>
    <definedName name="homesytd" localSheetId="13">#REF!</definedName>
    <definedName name="homesytd" localSheetId="17">#REF!</definedName>
    <definedName name="homesytd" localSheetId="18">#REF!</definedName>
    <definedName name="homesytd" localSheetId="14">#REF!</definedName>
    <definedName name="homesytd" localSheetId="19">#REF!</definedName>
    <definedName name="homesytd" localSheetId="20">#REF!</definedName>
    <definedName name="homesytd" localSheetId="15">#REF!</definedName>
    <definedName name="homesytd" localSheetId="21">#REF!</definedName>
    <definedName name="homesytd" localSheetId="22">#REF!</definedName>
    <definedName name="homesytd" localSheetId="16">#REF!</definedName>
    <definedName name="homesytd" localSheetId="23">#REF!</definedName>
    <definedName name="homesytd" localSheetId="24">#REF!</definedName>
    <definedName name="homesytd" localSheetId="12">#REF!</definedName>
    <definedName name="homesytd">#REF!</definedName>
    <definedName name="homesytdgoal" localSheetId="27">#REF!</definedName>
    <definedName name="homesytdgoal" localSheetId="30">#REF!</definedName>
    <definedName name="homesytdgoal" localSheetId="10">#REF!</definedName>
    <definedName name="homesytdgoal" localSheetId="31">#REF!</definedName>
    <definedName name="homesytdgoal" localSheetId="1">#REF!</definedName>
    <definedName name="homesytdgoal" localSheetId="32">#REF!</definedName>
    <definedName name="homesytdgoal" localSheetId="2">#REF!</definedName>
    <definedName name="homesytdgoal" localSheetId="3">#REF!</definedName>
    <definedName name="homesytdgoal" localSheetId="9">#REF!</definedName>
    <definedName name="homesytdgoal" localSheetId="33">#REF!</definedName>
    <definedName name="homesytdgoal" localSheetId="5">#REF!</definedName>
    <definedName name="homesytdgoal" localSheetId="34">#REF!</definedName>
    <definedName name="homesytdgoal" localSheetId="7">#REF!</definedName>
    <definedName name="homesytdgoal" localSheetId="13">#REF!</definedName>
    <definedName name="homesytdgoal" localSheetId="17">#REF!</definedName>
    <definedName name="homesytdgoal" localSheetId="18">#REF!</definedName>
    <definedName name="homesytdgoal" localSheetId="14">#REF!</definedName>
    <definedName name="homesytdgoal" localSheetId="19">#REF!</definedName>
    <definedName name="homesytdgoal" localSheetId="20">#REF!</definedName>
    <definedName name="homesytdgoal" localSheetId="15">#REF!</definedName>
    <definedName name="homesytdgoal" localSheetId="21">#REF!</definedName>
    <definedName name="homesytdgoal" localSheetId="22">#REF!</definedName>
    <definedName name="homesytdgoal" localSheetId="16">#REF!</definedName>
    <definedName name="homesytdgoal" localSheetId="23">#REF!</definedName>
    <definedName name="homesytdgoal" localSheetId="24">#REF!</definedName>
    <definedName name="homesytdgoal" localSheetId="12">#REF!</definedName>
    <definedName name="homesytdgoal">#REF!</definedName>
    <definedName name="ID" localSheetId="26" hidden="1">"82bd1e85-2939-4b34-9a31-e0e08e54edfb"</definedName>
    <definedName name="ID" localSheetId="27" hidden="1">"f02d7c96-9861-4998-9eed-9b2b2d91d28c"</definedName>
    <definedName name="ID" localSheetId="28" hidden="1">"3d63ecc3-5ecd-4e07-b60e-b26a9c4379ef"</definedName>
    <definedName name="ID" localSheetId="29" hidden="1">"0a957319-db45-4e39-9b19-d1c2daf624e0"</definedName>
    <definedName name="ID" localSheetId="30" hidden="1">"01b0fd64-73fd-4f19-acfd-9924e4ae88c4"</definedName>
    <definedName name="ID" localSheetId="25" hidden="1">"d6dcde26-24ef-4f5e-901c-816d2ec496af"</definedName>
    <definedName name="ID" localSheetId="10" hidden="1">"bd176049-436e-4149-9304-e3c633d38545"</definedName>
    <definedName name="ID" localSheetId="31" hidden="1">"5ff1020d-984b-4981-9001-db0988ca5bd9"</definedName>
    <definedName name="ID" localSheetId="1" hidden="1">"9b50ef79-b993-4c68-9dd2-b065505ef2c4"</definedName>
    <definedName name="ID" localSheetId="0" hidden="1">"d7241c14-d378-4496-9a26-e55879c4a16d"</definedName>
    <definedName name="ID" localSheetId="32" hidden="1">"a0990889-16fd-4813-8746-732914b86b64"</definedName>
    <definedName name="ID" localSheetId="2" hidden="1">"a1e73ca8-d62b-4058-8844-8dc5477ff490"</definedName>
    <definedName name="ID" localSheetId="3" hidden="1">"c7f1b89f-563d-4705-a2e9-937ec0fabf16"</definedName>
    <definedName name="ID" localSheetId="9" hidden="1">"bd176049-436e-4149-9304-e3c633d38545"</definedName>
    <definedName name="ID" localSheetId="33" hidden="1">"ddd9f7b7-b030-4248-8e7f-fc9a31074b88"</definedName>
    <definedName name="ID" localSheetId="5" hidden="1">"70d452d6-52ac-4413-a045-19269bdd4e64"</definedName>
    <definedName name="ID" localSheetId="34" hidden="1">"d811b537-1d38-4cb3-b986-456e8e6661af"</definedName>
    <definedName name="ID" localSheetId="7" hidden="1">"23d57f44-6879-45f3-bda4-91b74ebffa32"</definedName>
    <definedName name="ID" localSheetId="13" hidden="1">"7e7678a0-3c76-470b-a9df-5771225fd5fa"</definedName>
    <definedName name="ID" localSheetId="17" hidden="1">"1dd4e48b-9105-46a1-8f90-117338542ffe"</definedName>
    <definedName name="ID" localSheetId="18" hidden="1">"be99bac4-57f4-4eed-ab0f-bc3b8ba0e960"</definedName>
    <definedName name="ID" localSheetId="14" hidden="1">"fef377d0-a57f-42e7-a457-86356491dd3f"</definedName>
    <definedName name="ID" localSheetId="19" hidden="1">"51eb9d71-4a8c-4b45-bb3b-2b1722eb363e"</definedName>
    <definedName name="ID" localSheetId="20" hidden="1">"f14afee4-7b06-4bfc-9bb3-a27ce13c9f3c"</definedName>
    <definedName name="ID" localSheetId="15" hidden="1">"cfdd6d64-c67e-4b06-bf2d-5db9f6401d80"</definedName>
    <definedName name="ID" localSheetId="21" hidden="1">"c5e98436-4f8a-4ba6-b2c3-557e83337733"</definedName>
    <definedName name="ID" localSheetId="22" hidden="1">"9f05ead5-5187-40f6-84aa-615a014fb8ad"</definedName>
    <definedName name="ID" localSheetId="16" hidden="1">"af41d13f-35c9-4d68-ac1c-ad8fbc2f897b"</definedName>
    <definedName name="ID" localSheetId="23" hidden="1">"e67594d3-ef93-4082-a18b-fe148d2f4079"</definedName>
    <definedName name="ID" localSheetId="24" hidden="1">"db3ee2fc-593d-4038-a86f-8dcf6bf0257a"</definedName>
    <definedName name="ID" localSheetId="11" hidden="1">"d45c3276-5463-47e7-b58f-24cdb5d4fb35"</definedName>
    <definedName name="ID" localSheetId="12" hidden="1">"2a261547-fc5b-49ac-97fe-3e36c6c6db35"</definedName>
    <definedName name="iiiiiiiiiiii" localSheetId="31">'[4]ES CT Electric Table A  '!#REF!</definedName>
    <definedName name="iiiiiiiiiiii" localSheetId="1">'[4]ES CT Electric Table A  '!#REF!</definedName>
    <definedName name="iiiiiiiiiiii" localSheetId="32">'[4]ES CT Electric Table A  '!#REF!</definedName>
    <definedName name="iiiiiiiiiiii" localSheetId="2">'[4]ES CT Electric Table A  '!#REF!</definedName>
    <definedName name="iiiiiiiiiiii" localSheetId="3">'[4]ES CT Electric Table A  '!#REF!</definedName>
    <definedName name="iiiiiiiiiiii" localSheetId="33">'[4]ES CT Electric Table A  '!#REF!</definedName>
    <definedName name="iiiiiiiiiiii" localSheetId="5">'[4]ES CT Electric Table A  '!#REF!</definedName>
    <definedName name="iiiiiiiiiiii" localSheetId="34">'[4]ES CT Electric Table A  '!#REF!</definedName>
    <definedName name="iiiiiiiiiiii" localSheetId="7">'[4]ES CT Electric Table A  '!#REF!</definedName>
    <definedName name="iiiiiiiiiiii" localSheetId="13">'[4]ES CT Electric Table A  '!#REF!</definedName>
    <definedName name="iiiiiiiiiiii" localSheetId="17">'[4]ES CT Electric Table A  '!#REF!</definedName>
    <definedName name="iiiiiiiiiiii" localSheetId="18">'[4]ES CT Electric Table A  '!#REF!</definedName>
    <definedName name="iiiiiiiiiiii" localSheetId="14">'[4]ES CT Electric Table A  '!#REF!</definedName>
    <definedName name="iiiiiiiiiiii" localSheetId="19">'[4]ES CT Electric Table A  '!#REF!</definedName>
    <definedName name="iiiiiiiiiiii" localSheetId="20">'[4]ES CT Electric Table A  '!#REF!</definedName>
    <definedName name="iiiiiiiiiiii" localSheetId="15">'[4]ES CT Electric Table A  '!#REF!</definedName>
    <definedName name="iiiiiiiiiiii" localSheetId="21">'[4]ES CT Electric Table A  '!#REF!</definedName>
    <definedName name="iiiiiiiiiiii" localSheetId="22">'[4]ES CT Electric Table A  '!#REF!</definedName>
    <definedName name="iiiiiiiiiiii" localSheetId="16">'[4]ES CT Electric Table A  '!#REF!</definedName>
    <definedName name="iiiiiiiiiiii" localSheetId="23">'[4]ES CT Electric Table A  '!#REF!</definedName>
    <definedName name="iiiiiiiiiiii" localSheetId="24">'[4]ES CT Electric Table A  '!#REF!</definedName>
    <definedName name="iiiiiiiiiiii">'[4]ES CT Electric Table A  '!#REF!</definedName>
    <definedName name="iiiiiiiiiiuuuu" localSheetId="31">'[4]ES CT Electric Table A  '!#REF!</definedName>
    <definedName name="iiiiiiiiiiuuuu" localSheetId="1">'[4]ES CT Electric Table A  '!#REF!</definedName>
    <definedName name="iiiiiiiiiiuuuu" localSheetId="32">'[4]ES CT Electric Table A  '!#REF!</definedName>
    <definedName name="iiiiiiiiiiuuuu" localSheetId="2">'[4]ES CT Electric Table A  '!#REF!</definedName>
    <definedName name="iiiiiiiiiiuuuu" localSheetId="3">'[4]ES CT Electric Table A  '!#REF!</definedName>
    <definedName name="iiiiiiiiiiuuuu" localSheetId="33">'[4]ES CT Electric Table A  '!#REF!</definedName>
    <definedName name="iiiiiiiiiiuuuu" localSheetId="5">'[4]ES CT Electric Table A  '!#REF!</definedName>
    <definedName name="iiiiiiiiiiuuuu" localSheetId="34">'[4]ES CT Electric Table A  '!#REF!</definedName>
    <definedName name="iiiiiiiiiiuuuu" localSheetId="7">'[4]ES CT Electric Table A  '!#REF!</definedName>
    <definedName name="iiiiiiiiiiuuuu" localSheetId="13">'[4]ES CT Electric Table A  '!#REF!</definedName>
    <definedName name="iiiiiiiiiiuuuu" localSheetId="17">'[4]ES CT Electric Table A  '!#REF!</definedName>
    <definedName name="iiiiiiiiiiuuuu" localSheetId="18">'[4]ES CT Electric Table A  '!#REF!</definedName>
    <definedName name="iiiiiiiiiiuuuu" localSheetId="14">'[4]ES CT Electric Table A  '!#REF!</definedName>
    <definedName name="iiiiiiiiiiuuuu" localSheetId="19">'[4]ES CT Electric Table A  '!#REF!</definedName>
    <definedName name="iiiiiiiiiiuuuu" localSheetId="20">'[4]ES CT Electric Table A  '!#REF!</definedName>
    <definedName name="iiiiiiiiiiuuuu" localSheetId="15">'[4]ES CT Electric Table A  '!#REF!</definedName>
    <definedName name="iiiiiiiiiiuuuu" localSheetId="21">'[4]ES CT Electric Table A  '!#REF!</definedName>
    <definedName name="iiiiiiiiiiuuuu" localSheetId="22">'[4]ES CT Electric Table A  '!#REF!</definedName>
    <definedName name="iiiiiiiiiiuuuu" localSheetId="16">'[4]ES CT Electric Table A  '!#REF!</definedName>
    <definedName name="iiiiiiiiiiuuuu" localSheetId="23">'[4]ES CT Electric Table A  '!#REF!</definedName>
    <definedName name="iiiiiiiiiiuuuu" localSheetId="24">'[4]ES CT Electric Table A  '!#REF!</definedName>
    <definedName name="iiiiiiiiiiuuuu">'[4]ES CT Electric Table A  '!#REF!</definedName>
    <definedName name="in" localSheetId="12" hidden="1">{#N/A,#N/A,FALSE,"OTHERINPUTS";#N/A,#N/A,FALSE,"DITRATEINPUTS";#N/A,#N/A,FALSE,"SUPPLIEDADJINPUT";#N/A,#N/A,FALSE,"TIMINGDIFFINPUTS";#N/A,#N/A,FALSE,"BR&amp;SUPADJ."}</definedName>
    <definedName name="in" hidden="1">{#N/A,#N/A,FALSE,"OTHERINPUTS";#N/A,#N/A,FALSE,"DITRATEINPUTS";#N/A,#N/A,FALSE,"SUPPLIEDADJINPUT";#N/A,#N/A,FALSE,"TIMINGDIFFINPUTS";#N/A,#N/A,FALSE,"BR&amp;SUPADJ."}</definedName>
    <definedName name="incentive1" localSheetId="26">#REF!</definedName>
    <definedName name="incentive1" localSheetId="27">#REF!</definedName>
    <definedName name="incentive1" localSheetId="30">#REF!</definedName>
    <definedName name="incentive1" localSheetId="25">#REF!</definedName>
    <definedName name="incentive1" localSheetId="10">#REF!</definedName>
    <definedName name="incentive1" localSheetId="31">#REF!</definedName>
    <definedName name="incentive1" localSheetId="1">#REF!</definedName>
    <definedName name="incentive1" localSheetId="32">#REF!</definedName>
    <definedName name="incentive1" localSheetId="2">#REF!</definedName>
    <definedName name="incentive1" localSheetId="3">#REF!</definedName>
    <definedName name="incentive1" localSheetId="9">#REF!</definedName>
    <definedName name="incentive1" localSheetId="33">#REF!</definedName>
    <definedName name="incentive1" localSheetId="5">#REF!</definedName>
    <definedName name="incentive1" localSheetId="34">#REF!</definedName>
    <definedName name="incentive1" localSheetId="7">#REF!</definedName>
    <definedName name="incentive1" localSheetId="13">#REF!</definedName>
    <definedName name="incentive1" localSheetId="17">#REF!</definedName>
    <definedName name="incentive1" localSheetId="18">#REF!</definedName>
    <definedName name="incentive1" localSheetId="14">#REF!</definedName>
    <definedName name="incentive1" localSheetId="19">#REF!</definedName>
    <definedName name="incentive1" localSheetId="20">#REF!</definedName>
    <definedName name="incentive1" localSheetId="15">#REF!</definedName>
    <definedName name="incentive1" localSheetId="21">#REF!</definedName>
    <definedName name="incentive1" localSheetId="22">#REF!</definedName>
    <definedName name="incentive1" localSheetId="16">#REF!</definedName>
    <definedName name="incentive1" localSheetId="23">#REF!</definedName>
    <definedName name="incentive1" localSheetId="24">#REF!</definedName>
    <definedName name="incentive1" localSheetId="12">#REF!</definedName>
    <definedName name="incentive1">#REF!</definedName>
    <definedName name="incentive1a" localSheetId="27">#REF!</definedName>
    <definedName name="incentive1a" localSheetId="30">#REF!</definedName>
    <definedName name="incentive1a" localSheetId="10">#REF!</definedName>
    <definedName name="incentive1a" localSheetId="31">#REF!</definedName>
    <definedName name="incentive1a" localSheetId="1">#REF!</definedName>
    <definedName name="incentive1a" localSheetId="32">#REF!</definedName>
    <definedName name="incentive1a" localSheetId="2">#REF!</definedName>
    <definedName name="incentive1a" localSheetId="3">#REF!</definedName>
    <definedName name="incentive1a" localSheetId="9">#REF!</definedName>
    <definedName name="incentive1a" localSheetId="33">#REF!</definedName>
    <definedName name="incentive1a" localSheetId="5">#REF!</definedName>
    <definedName name="incentive1a" localSheetId="34">#REF!</definedName>
    <definedName name="incentive1a" localSheetId="7">#REF!</definedName>
    <definedName name="incentive1a" localSheetId="13">#REF!</definedName>
    <definedName name="incentive1a" localSheetId="17">#REF!</definedName>
    <definedName name="incentive1a" localSheetId="18">#REF!</definedName>
    <definedName name="incentive1a" localSheetId="14">#REF!</definedName>
    <definedName name="incentive1a" localSheetId="19">#REF!</definedName>
    <definedName name="incentive1a" localSheetId="20">#REF!</definedName>
    <definedName name="incentive1a" localSheetId="15">#REF!</definedName>
    <definedName name="incentive1a" localSheetId="21">#REF!</definedName>
    <definedName name="incentive1a" localSheetId="22">#REF!</definedName>
    <definedName name="incentive1a" localSheetId="16">#REF!</definedName>
    <definedName name="incentive1a" localSheetId="23">#REF!</definedName>
    <definedName name="incentive1a" localSheetId="24">#REF!</definedName>
    <definedName name="incentive1a" localSheetId="12">#REF!</definedName>
    <definedName name="incentive1a">#REF!</definedName>
    <definedName name="Interest" localSheetId="31">'[4]ES CT Electric Table A  '!#REF!</definedName>
    <definedName name="Interest" localSheetId="1">'[4]ES CT Electric Table A  '!#REF!</definedName>
    <definedName name="Interest" localSheetId="32">'[4]ES CT Electric Table A  '!#REF!</definedName>
    <definedName name="Interest" localSheetId="2">'[4]ES CT Electric Table A  '!#REF!</definedName>
    <definedName name="Interest" localSheetId="3">'[4]ES CT Electric Table A  '!#REF!</definedName>
    <definedName name="Interest" localSheetId="33">'[4]ES CT Electric Table A  '!#REF!</definedName>
    <definedName name="Interest" localSheetId="5">'[4]ES CT Electric Table A  '!#REF!</definedName>
    <definedName name="Interest" localSheetId="34">'[4]ES CT Electric Table A  '!#REF!</definedName>
    <definedName name="Interest" localSheetId="7">'[4]ES CT Electric Table A  '!#REF!</definedName>
    <definedName name="Interest" localSheetId="13">'[4]ES CT Electric Table A  '!#REF!</definedName>
    <definedName name="Interest" localSheetId="17">'[4]ES CT Electric Table A  '!#REF!</definedName>
    <definedName name="Interest" localSheetId="18">'[4]ES CT Electric Table A  '!#REF!</definedName>
    <definedName name="Interest" localSheetId="14">'[4]ES CT Electric Table A  '!#REF!</definedName>
    <definedName name="Interest" localSheetId="19">'[4]ES CT Electric Table A  '!#REF!</definedName>
    <definedName name="Interest" localSheetId="20">'[4]ES CT Electric Table A  '!#REF!</definedName>
    <definedName name="Interest" localSheetId="15">'[4]ES CT Electric Table A  '!#REF!</definedName>
    <definedName name="Interest" localSheetId="21">'[4]ES CT Electric Table A  '!#REF!</definedName>
    <definedName name="Interest" localSheetId="22">'[4]ES CT Electric Table A  '!#REF!</definedName>
    <definedName name="Interest" localSheetId="16">'[4]ES CT Electric Table A  '!#REF!</definedName>
    <definedName name="Interest" localSheetId="23">'[4]ES CT Electric Table A  '!#REF!</definedName>
    <definedName name="Interest" localSheetId="24">'[4]ES CT Electric Table A  '!#REF!</definedName>
    <definedName name="Interest">'[4]ES CT Electric Table A  '!#REF!</definedName>
    <definedName name="Interest_alloc" localSheetId="27">#REF!</definedName>
    <definedName name="Interest_alloc" localSheetId="30">#REF!</definedName>
    <definedName name="Interest_alloc" localSheetId="10">#REF!</definedName>
    <definedName name="Interest_alloc" localSheetId="31">#REF!</definedName>
    <definedName name="Interest_alloc" localSheetId="1">#REF!</definedName>
    <definedName name="Interest_alloc" localSheetId="32">#REF!</definedName>
    <definedName name="Interest_alloc" localSheetId="2">#REF!</definedName>
    <definedName name="Interest_alloc" localSheetId="3">#REF!</definedName>
    <definedName name="Interest_alloc" localSheetId="9">#REF!</definedName>
    <definedName name="Interest_alloc" localSheetId="33">#REF!</definedName>
    <definedName name="Interest_alloc" localSheetId="5">#REF!</definedName>
    <definedName name="Interest_alloc" localSheetId="34">#REF!</definedName>
    <definedName name="Interest_alloc" localSheetId="7">#REF!</definedName>
    <definedName name="Interest_alloc" localSheetId="13">#REF!</definedName>
    <definedName name="Interest_alloc" localSheetId="17">#REF!</definedName>
    <definedName name="Interest_alloc" localSheetId="18">#REF!</definedName>
    <definedName name="Interest_alloc" localSheetId="14">#REF!</definedName>
    <definedName name="Interest_alloc" localSheetId="19">#REF!</definedName>
    <definedName name="Interest_alloc" localSheetId="20">#REF!</definedName>
    <definedName name="Interest_alloc" localSheetId="15">#REF!</definedName>
    <definedName name="Interest_alloc" localSheetId="21">#REF!</definedName>
    <definedName name="Interest_alloc" localSheetId="22">#REF!</definedName>
    <definedName name="Interest_alloc" localSheetId="16">#REF!</definedName>
    <definedName name="Interest_alloc" localSheetId="23">#REF!</definedName>
    <definedName name="Interest_alloc" localSheetId="24">#REF!</definedName>
    <definedName name="Interest_alloc" localSheetId="12">'[1]CLM Programs'!#REF!</definedName>
    <definedName name="Interest_alloc">#REF!</definedName>
    <definedName name="iuii" localSheetId="31">'[4]ES CT Electric Table A  '!#REF!</definedName>
    <definedName name="iuii" localSheetId="1">'[4]ES CT Electric Table A  '!#REF!</definedName>
    <definedName name="iuii" localSheetId="32">'[4]ES CT Electric Table A  '!#REF!</definedName>
    <definedName name="iuii" localSheetId="2">'[4]ES CT Electric Table A  '!#REF!</definedName>
    <definedName name="iuii" localSheetId="3">'[4]ES CT Electric Table A  '!#REF!</definedName>
    <definedName name="iuii" localSheetId="33">'[4]ES CT Electric Table A  '!#REF!</definedName>
    <definedName name="iuii" localSheetId="5">'[4]ES CT Electric Table A  '!#REF!</definedName>
    <definedName name="iuii" localSheetId="34">'[4]ES CT Electric Table A  '!#REF!</definedName>
    <definedName name="iuii" localSheetId="7">'[4]ES CT Electric Table A  '!#REF!</definedName>
    <definedName name="iuii" localSheetId="13">'[4]ES CT Electric Table A  '!#REF!</definedName>
    <definedName name="iuii" localSheetId="17">'[4]ES CT Electric Table A  '!#REF!</definedName>
    <definedName name="iuii" localSheetId="18">'[4]ES CT Electric Table A  '!#REF!</definedName>
    <definedName name="iuii" localSheetId="14">'[4]ES CT Electric Table A  '!#REF!</definedName>
    <definedName name="iuii" localSheetId="19">'[4]ES CT Electric Table A  '!#REF!</definedName>
    <definedName name="iuii" localSheetId="20">'[4]ES CT Electric Table A  '!#REF!</definedName>
    <definedName name="iuii" localSheetId="15">'[4]ES CT Electric Table A  '!#REF!</definedName>
    <definedName name="iuii" localSheetId="21">'[4]ES CT Electric Table A  '!#REF!</definedName>
    <definedName name="iuii" localSheetId="22">'[4]ES CT Electric Table A  '!#REF!</definedName>
    <definedName name="iuii" localSheetId="16">'[4]ES CT Electric Table A  '!#REF!</definedName>
    <definedName name="iuii" localSheetId="23">'[4]ES CT Electric Table A  '!#REF!</definedName>
    <definedName name="iuii" localSheetId="24">'[4]ES CT Electric Table A  '!#REF!</definedName>
    <definedName name="iuii">'[4]ES CT Electric Table A  '!#REF!</definedName>
    <definedName name="jkkjlj" localSheetId="12" hidden="1">{#N/A,#N/A,FALSE,"TITLEPG";#N/A,#N/A,FALSE,"INDEX";#N/A,#N/A,FALSE,"BKTAXINCOME";#N/A,#N/A,FALSE,"INTERESTALLOC";#N/A,#N/A,FALSE,"FITCALC";#N/A,#N/A,FALSE,"CCBT";#N/A,#N/A,FALSE,"CGE";#N/A,#N/A,FALSE,"MFT";#N/A,#N/A,FALSE,"NHBPT";#N/A,#N/A,FALSE,"OPPERMEVENTS";#N/A,#N/A,FALSE,"NONOPPERMEVENTS";#N/A,#N/A,FALSE,"OPTIMEVENTS";#N/A,#N/A,FALSE,"NONOPTIMEVENTS";#N/A,#N/A,FALSE,"DEPREC";#N/A,#N/A,FALSE,"OPPERMDIFF";#N/A,#N/A,FALSE,"NONOPPERMDIFF";#N/A,#N/A,FALSE,"OPTIMDIFF";#N/A,#N/A,FALSE,"NONOPTIMDIFF";#N/A,#N/A,FALSE,"OP190CRQTR";#N/A,#N/A,FALSE,"NONOP190CRQTR";#N/A,#N/A,FALSE,"OP190CRYTD";#N/A,#N/A,FALSE,"NONOP190CRYTD";#N/A,#N/A,FALSE,"OP190PRYTD";#N/A,#N/A,FALSE,"NONOP190PRYTD";#N/A,#N/A,FALSE,"OP282CRQTR";#N/A,#N/A,FALSE,"NONOP282CRQTR";#N/A,#N/A,FALSE,"OP282CRYTD";#N/A,#N/A,FALSE,"NONOP282CRYTD";#N/A,#N/A,FALSE,"OP282PRYTD";#N/A,#N/A,FALSE,"NONOP282PRYTD";#N/A,#N/A,FALSE,"OP283CRQTR";#N/A,#N/A,FALSE,"NONOP283CRQTR";#N/A,#N/A,FALSE,"OP283CRYTD";#N/A,#N/A,FALSE,"NONOP283CRYTD";#N/A,#N/A,FALSE,"OP283PRYTD";#N/A,#N/A,FALSE,"NONOP283PRYTD";#N/A,#N/A,FALSE,"DITSUM";#N/A,#N/A,FALSE,"CRYTDACREC";#N/A,#N/A,FALSE,"PRYTDACREC";#N/A,#N/A,FALSE,"SYSJRNL";#N/A,#N/A,FALSE,"FAS109 OPERATING";#N/A,#N/A,FALSE,"FAS109 NONOPERATING"}</definedName>
    <definedName name="jkkjlj" hidden="1">{#N/A,#N/A,FALSE,"TITLEPG";#N/A,#N/A,FALSE,"INDEX";#N/A,#N/A,FALSE,"BKTAXINCOME";#N/A,#N/A,FALSE,"INTERESTALLOC";#N/A,#N/A,FALSE,"FITCALC";#N/A,#N/A,FALSE,"CCBT";#N/A,#N/A,FALSE,"CGE";#N/A,#N/A,FALSE,"MFT";#N/A,#N/A,FALSE,"NHBPT";#N/A,#N/A,FALSE,"OPPERMEVENTS";#N/A,#N/A,FALSE,"NONOPPERMEVENTS";#N/A,#N/A,FALSE,"OPTIMEVENTS";#N/A,#N/A,FALSE,"NONOPTIMEVENTS";#N/A,#N/A,FALSE,"DEPREC";#N/A,#N/A,FALSE,"OPPERMDIFF";#N/A,#N/A,FALSE,"NONOPPERMDIFF";#N/A,#N/A,FALSE,"OPTIMDIFF";#N/A,#N/A,FALSE,"NONOPTIMDIFF";#N/A,#N/A,FALSE,"OP190CRQTR";#N/A,#N/A,FALSE,"NONOP190CRQTR";#N/A,#N/A,FALSE,"OP190CRYTD";#N/A,#N/A,FALSE,"NONOP190CRYTD";#N/A,#N/A,FALSE,"OP190PRYTD";#N/A,#N/A,FALSE,"NONOP190PRYTD";#N/A,#N/A,FALSE,"OP282CRQTR";#N/A,#N/A,FALSE,"NONOP282CRQTR";#N/A,#N/A,FALSE,"OP282CRYTD";#N/A,#N/A,FALSE,"NONOP282CRYTD";#N/A,#N/A,FALSE,"OP282PRYTD";#N/A,#N/A,FALSE,"NONOP282PRYTD";#N/A,#N/A,FALSE,"OP283CRQTR";#N/A,#N/A,FALSE,"NONOP283CRQTR";#N/A,#N/A,FALSE,"OP283CRYTD";#N/A,#N/A,FALSE,"NONOP283CRYTD";#N/A,#N/A,FALSE,"OP283PRYTD";#N/A,#N/A,FALSE,"NONOP283PRYTD";#N/A,#N/A,FALSE,"DITSUM";#N/A,#N/A,FALSE,"CRYTDACREC";#N/A,#N/A,FALSE,"PRYTDACREC";#N/A,#N/A,FALSE,"SYSJRNL";#N/A,#N/A,FALSE,"FAS109 OPERATING";#N/A,#N/A,FALSE,"FAS109 NONOPERATING"}</definedName>
    <definedName name="kjkj" localSheetId="12" hidden="1">{#N/A,#N/A,FALSE,"OTHERINPUTS";#N/A,#N/A,FALSE,"DITRATEINPUTS";#N/A,#N/A,FALSE,"SUPPLIEDADJINPUT";#N/A,#N/A,FALSE,"TIMINGDIFFINPUTS";#N/A,#N/A,FALSE,"BR&amp;SUPADJ."}</definedName>
    <definedName name="kjkj" hidden="1">{#N/A,#N/A,FALSE,"OTHERINPUTS";#N/A,#N/A,FALSE,"DITRATEINPUTS";#N/A,#N/A,FALSE,"SUPPLIEDADJINPUT";#N/A,#N/A,FALSE,"TIMINGDIFFINPUTS";#N/A,#N/A,FALSE,"BR&amp;SUPADJ."}</definedName>
    <definedName name="kkk" localSheetId="31">'[4]ES CT Electric Table A  '!#REF!</definedName>
    <definedName name="kkk" localSheetId="1">'[4]ES CT Electric Table A  '!#REF!</definedName>
    <definedName name="kkk" localSheetId="32">'[4]ES CT Electric Table A  '!#REF!</definedName>
    <definedName name="kkk" localSheetId="2">'[4]ES CT Electric Table A  '!#REF!</definedName>
    <definedName name="kkk" localSheetId="3">'[4]ES CT Electric Table A  '!#REF!</definedName>
    <definedName name="kkk" localSheetId="33">'[4]ES CT Electric Table A  '!#REF!</definedName>
    <definedName name="kkk" localSheetId="5">'[4]ES CT Electric Table A  '!#REF!</definedName>
    <definedName name="kkk" localSheetId="34">'[4]ES CT Electric Table A  '!#REF!</definedName>
    <definedName name="kkk" localSheetId="7">'[4]ES CT Electric Table A  '!#REF!</definedName>
    <definedName name="kkk" localSheetId="13">'[4]ES CT Electric Table A  '!#REF!</definedName>
    <definedName name="kkk" localSheetId="17">'[4]ES CT Electric Table A  '!#REF!</definedName>
    <definedName name="kkk" localSheetId="18">'[4]ES CT Electric Table A  '!#REF!</definedName>
    <definedName name="kkk" localSheetId="14">'[4]ES CT Electric Table A  '!#REF!</definedName>
    <definedName name="kkk" localSheetId="19">'[4]ES CT Electric Table A  '!#REF!</definedName>
    <definedName name="kkk" localSheetId="20">'[4]ES CT Electric Table A  '!#REF!</definedName>
    <definedName name="kkk" localSheetId="15">'[4]ES CT Electric Table A  '!#REF!</definedName>
    <definedName name="kkk" localSheetId="21">'[4]ES CT Electric Table A  '!#REF!</definedName>
    <definedName name="kkk" localSheetId="22">'[4]ES CT Electric Table A  '!#REF!</definedName>
    <definedName name="kkk" localSheetId="16">'[4]ES CT Electric Table A  '!#REF!</definedName>
    <definedName name="kkk" localSheetId="23">'[4]ES CT Electric Table A  '!#REF!</definedName>
    <definedName name="kkk" localSheetId="24">'[4]ES CT Electric Table A  '!#REF!</definedName>
    <definedName name="kkk">'[4]ES CT Electric Table A  '!#REF!</definedName>
    <definedName name="kkkk" localSheetId="31">'[4]ES CT Electric Table A  '!#REF!</definedName>
    <definedName name="kkkk" localSheetId="1">'[4]ES CT Electric Table A  '!#REF!</definedName>
    <definedName name="kkkk" localSheetId="32">'[4]ES CT Electric Table A  '!#REF!</definedName>
    <definedName name="kkkk" localSheetId="2">'[4]ES CT Electric Table A  '!#REF!</definedName>
    <definedName name="kkkk" localSheetId="3">'[4]ES CT Electric Table A  '!#REF!</definedName>
    <definedName name="kkkk" localSheetId="33">'[4]ES CT Electric Table A  '!#REF!</definedName>
    <definedName name="kkkk" localSheetId="5">'[4]ES CT Electric Table A  '!#REF!</definedName>
    <definedName name="kkkk" localSheetId="34">'[4]ES CT Electric Table A  '!#REF!</definedName>
    <definedName name="kkkk" localSheetId="7">'[4]ES CT Electric Table A  '!#REF!</definedName>
    <definedName name="kkkk" localSheetId="13">'[4]ES CT Electric Table A  '!#REF!</definedName>
    <definedName name="kkkk" localSheetId="17">'[4]ES CT Electric Table A  '!#REF!</definedName>
    <definedName name="kkkk" localSheetId="18">'[4]ES CT Electric Table A  '!#REF!</definedName>
    <definedName name="kkkk" localSheetId="14">'[4]ES CT Electric Table A  '!#REF!</definedName>
    <definedName name="kkkk" localSheetId="19">'[4]ES CT Electric Table A  '!#REF!</definedName>
    <definedName name="kkkk" localSheetId="20">'[4]ES CT Electric Table A  '!#REF!</definedName>
    <definedName name="kkkk" localSheetId="15">'[4]ES CT Electric Table A  '!#REF!</definedName>
    <definedName name="kkkk" localSheetId="21">'[4]ES CT Electric Table A  '!#REF!</definedName>
    <definedName name="kkkk" localSheetId="22">'[4]ES CT Electric Table A  '!#REF!</definedName>
    <definedName name="kkkk" localSheetId="16">'[4]ES CT Electric Table A  '!#REF!</definedName>
    <definedName name="kkkk" localSheetId="23">'[4]ES CT Electric Table A  '!#REF!</definedName>
    <definedName name="kkkk" localSheetId="24">'[4]ES CT Electric Table A  '!#REF!</definedName>
    <definedName name="kkkk">'[4]ES CT Electric Table A  '!#REF!</definedName>
    <definedName name="lab" localSheetId="27">#REF!</definedName>
    <definedName name="lab" localSheetId="30">#REF!</definedName>
    <definedName name="lab" localSheetId="10">#REF!</definedName>
    <definedName name="lab" localSheetId="31">#REF!</definedName>
    <definedName name="lab" localSheetId="1">#REF!</definedName>
    <definedName name="lab" localSheetId="32">#REF!</definedName>
    <definedName name="lab" localSheetId="2">#REF!</definedName>
    <definedName name="lab" localSheetId="3">#REF!</definedName>
    <definedName name="lab" localSheetId="9">#REF!</definedName>
    <definedName name="lab" localSheetId="33">#REF!</definedName>
    <definedName name="lab" localSheetId="5">#REF!</definedName>
    <definedName name="lab" localSheetId="34">#REF!</definedName>
    <definedName name="lab" localSheetId="7">#REF!</definedName>
    <definedName name="lab" localSheetId="13">#REF!</definedName>
    <definedName name="lab" localSheetId="17">#REF!</definedName>
    <definedName name="lab" localSheetId="18">#REF!</definedName>
    <definedName name="lab" localSheetId="14">#REF!</definedName>
    <definedName name="lab" localSheetId="19">#REF!</definedName>
    <definedName name="lab" localSheetId="20">#REF!</definedName>
    <definedName name="lab" localSheetId="15">#REF!</definedName>
    <definedName name="lab" localSheetId="21">#REF!</definedName>
    <definedName name="lab" localSheetId="22">#REF!</definedName>
    <definedName name="lab" localSheetId="16">#REF!</definedName>
    <definedName name="lab" localSheetId="23">#REF!</definedName>
    <definedName name="lab" localSheetId="24">#REF!</definedName>
    <definedName name="lab" localSheetId="12">#REF!</definedName>
    <definedName name="lab">#REF!</definedName>
    <definedName name="lightsytd" localSheetId="26">#REF!</definedName>
    <definedName name="lightsytd" localSheetId="27">#REF!</definedName>
    <definedName name="lightsytd" localSheetId="30">#REF!</definedName>
    <definedName name="lightsytd" localSheetId="25">#REF!</definedName>
    <definedName name="lightsytd" localSheetId="10">#REF!</definedName>
    <definedName name="lightsytd" localSheetId="31">#REF!</definedName>
    <definedName name="lightsytd" localSheetId="1">#REF!</definedName>
    <definedName name="lightsytd" localSheetId="32">#REF!</definedName>
    <definedName name="lightsytd" localSheetId="2">#REF!</definedName>
    <definedName name="lightsytd" localSheetId="3">#REF!</definedName>
    <definedName name="lightsytd" localSheetId="9">#REF!</definedName>
    <definedName name="lightsytd" localSheetId="33">#REF!</definedName>
    <definedName name="lightsytd" localSheetId="5">#REF!</definedName>
    <definedName name="lightsytd" localSheetId="34">#REF!</definedName>
    <definedName name="lightsytd" localSheetId="7">#REF!</definedName>
    <definedName name="lightsytd" localSheetId="13">#REF!</definedName>
    <definedName name="lightsytd" localSheetId="17">#REF!</definedName>
    <definedName name="lightsytd" localSheetId="18">#REF!</definedName>
    <definedName name="lightsytd" localSheetId="14">#REF!</definedName>
    <definedName name="lightsytd" localSheetId="19">#REF!</definedName>
    <definedName name="lightsytd" localSheetId="20">#REF!</definedName>
    <definedName name="lightsytd" localSheetId="15">#REF!</definedName>
    <definedName name="lightsytd" localSheetId="21">#REF!</definedName>
    <definedName name="lightsytd" localSheetId="22">#REF!</definedName>
    <definedName name="lightsytd" localSheetId="16">#REF!</definedName>
    <definedName name="lightsytd" localSheetId="23">#REF!</definedName>
    <definedName name="lightsytd" localSheetId="24">#REF!</definedName>
    <definedName name="lightsytd" localSheetId="12">#REF!</definedName>
    <definedName name="lightsytd">#REF!</definedName>
    <definedName name="MB_PROJ_ID" localSheetId="31">#REF!</definedName>
    <definedName name="MB_PROJ_ID" localSheetId="1">#REF!</definedName>
    <definedName name="MB_PROJ_ID" localSheetId="32">#REF!</definedName>
    <definedName name="MB_PROJ_ID" localSheetId="2">#REF!</definedName>
    <definedName name="MB_PROJ_ID" localSheetId="3">#REF!</definedName>
    <definedName name="MB_PROJ_ID" localSheetId="33">#REF!</definedName>
    <definedName name="MB_PROJ_ID" localSheetId="5">#REF!</definedName>
    <definedName name="MB_PROJ_ID" localSheetId="34">#REF!</definedName>
    <definedName name="MB_PROJ_ID" localSheetId="7">#REF!</definedName>
    <definedName name="MB_PROJ_ID" localSheetId="13">#REF!</definedName>
    <definedName name="MB_PROJ_ID" localSheetId="17">#REF!</definedName>
    <definedName name="MB_PROJ_ID" localSheetId="18">#REF!</definedName>
    <definedName name="MB_PROJ_ID" localSheetId="14">#REF!</definedName>
    <definedName name="MB_PROJ_ID" localSheetId="19">#REF!</definedName>
    <definedName name="MB_PROJ_ID" localSheetId="20">#REF!</definedName>
    <definedName name="MB_PROJ_ID" localSheetId="15">#REF!</definedName>
    <definedName name="MB_PROJ_ID" localSheetId="21">#REF!</definedName>
    <definedName name="MB_PROJ_ID" localSheetId="22">#REF!</definedName>
    <definedName name="MB_PROJ_ID" localSheetId="16">#REF!</definedName>
    <definedName name="MB_PROJ_ID" localSheetId="23">#REF!</definedName>
    <definedName name="MB_PROJ_ID" localSheetId="24">#REF!</definedName>
    <definedName name="MB_PROJ_ID">#REF!</definedName>
    <definedName name="meytd" localSheetId="26">#REF!</definedName>
    <definedName name="meytd" localSheetId="27">#REF!</definedName>
    <definedName name="meytd" localSheetId="30">#REF!</definedName>
    <definedName name="meytd" localSheetId="25">#REF!</definedName>
    <definedName name="meytd" localSheetId="10">#REF!</definedName>
    <definedName name="meytd" localSheetId="31">#REF!</definedName>
    <definedName name="meytd" localSheetId="1">#REF!</definedName>
    <definedName name="meytd" localSheetId="32">#REF!</definedName>
    <definedName name="meytd" localSheetId="2">#REF!</definedName>
    <definedName name="meytd" localSheetId="3">#REF!</definedName>
    <definedName name="meytd" localSheetId="9">#REF!</definedName>
    <definedName name="meytd" localSheetId="33">#REF!</definedName>
    <definedName name="meytd" localSheetId="5">#REF!</definedName>
    <definedName name="meytd" localSheetId="34">#REF!</definedName>
    <definedName name="meytd" localSheetId="7">#REF!</definedName>
    <definedName name="meytd" localSheetId="13">#REF!</definedName>
    <definedName name="meytd" localSheetId="17">#REF!</definedName>
    <definedName name="meytd" localSheetId="18">#REF!</definedName>
    <definedName name="meytd" localSheetId="14">#REF!</definedName>
    <definedName name="meytd" localSheetId="19">#REF!</definedName>
    <definedName name="meytd" localSheetId="20">#REF!</definedName>
    <definedName name="meytd" localSheetId="15">#REF!</definedName>
    <definedName name="meytd" localSheetId="21">#REF!</definedName>
    <definedName name="meytd" localSheetId="22">#REF!</definedName>
    <definedName name="meytd" localSheetId="16">#REF!</definedName>
    <definedName name="meytd" localSheetId="23">#REF!</definedName>
    <definedName name="meytd" localSheetId="24">#REF!</definedName>
    <definedName name="meytd" localSheetId="12">#REF!</definedName>
    <definedName name="meytd">#REF!</definedName>
    <definedName name="omytd" localSheetId="26">#REF!</definedName>
    <definedName name="omytd" localSheetId="27">#REF!</definedName>
    <definedName name="omytd" localSheetId="30">#REF!</definedName>
    <definedName name="omytd" localSheetId="25">#REF!</definedName>
    <definedName name="omytd" localSheetId="10">#REF!</definedName>
    <definedName name="omytd" localSheetId="31">#REF!</definedName>
    <definedName name="omytd" localSheetId="1">#REF!</definedName>
    <definedName name="omytd" localSheetId="32">#REF!</definedName>
    <definedName name="omytd" localSheetId="2">#REF!</definedName>
    <definedName name="omytd" localSheetId="3">#REF!</definedName>
    <definedName name="omytd" localSheetId="9">#REF!</definedName>
    <definedName name="omytd" localSheetId="33">#REF!</definedName>
    <definedName name="omytd" localSheetId="5">#REF!</definedName>
    <definedName name="omytd" localSheetId="34">#REF!</definedName>
    <definedName name="omytd" localSheetId="7">#REF!</definedName>
    <definedName name="omytd" localSheetId="13">#REF!</definedName>
    <definedName name="omytd" localSheetId="17">#REF!</definedName>
    <definedName name="omytd" localSheetId="18">#REF!</definedName>
    <definedName name="omytd" localSheetId="14">#REF!</definedName>
    <definedName name="omytd" localSheetId="19">#REF!</definedName>
    <definedName name="omytd" localSheetId="20">#REF!</definedName>
    <definedName name="omytd" localSheetId="15">#REF!</definedName>
    <definedName name="omytd" localSheetId="21">#REF!</definedName>
    <definedName name="omytd" localSheetId="22">#REF!</definedName>
    <definedName name="omytd" localSheetId="16">#REF!</definedName>
    <definedName name="omytd" localSheetId="23">#REF!</definedName>
    <definedName name="omytd" localSheetId="24">#REF!</definedName>
    <definedName name="omytd" localSheetId="12">#REF!</definedName>
    <definedName name="omytd">#REF!</definedName>
    <definedName name="omytdgoal" localSheetId="27">#REF!</definedName>
    <definedName name="omytdgoal" localSheetId="30">#REF!</definedName>
    <definedName name="omytdgoal" localSheetId="10">#REF!</definedName>
    <definedName name="omytdgoal" localSheetId="31">#REF!</definedName>
    <definedName name="omytdgoal" localSheetId="1">#REF!</definedName>
    <definedName name="omytdgoal" localSheetId="32">#REF!</definedName>
    <definedName name="omytdgoal" localSheetId="2">#REF!</definedName>
    <definedName name="omytdgoal" localSheetId="3">#REF!</definedName>
    <definedName name="omytdgoal" localSheetId="9">#REF!</definedName>
    <definedName name="omytdgoal" localSheetId="33">#REF!</definedName>
    <definedName name="omytdgoal" localSheetId="5">#REF!</definedName>
    <definedName name="omytdgoal" localSheetId="34">#REF!</definedName>
    <definedName name="omytdgoal" localSheetId="7">#REF!</definedName>
    <definedName name="omytdgoal" localSheetId="13">#REF!</definedName>
    <definedName name="omytdgoal" localSheetId="17">#REF!</definedName>
    <definedName name="omytdgoal" localSheetId="18">#REF!</definedName>
    <definedName name="omytdgoal" localSheetId="14">#REF!</definedName>
    <definedName name="omytdgoal" localSheetId="19">#REF!</definedName>
    <definedName name="omytdgoal" localSheetId="20">#REF!</definedName>
    <definedName name="omytdgoal" localSheetId="15">#REF!</definedName>
    <definedName name="omytdgoal" localSheetId="21">#REF!</definedName>
    <definedName name="omytdgoal" localSheetId="22">#REF!</definedName>
    <definedName name="omytdgoal" localSheetId="16">#REF!</definedName>
    <definedName name="omytdgoal" localSheetId="23">#REF!</definedName>
    <definedName name="omytdgoal" localSheetId="24">#REF!</definedName>
    <definedName name="omytdgoal" localSheetId="12">#REF!</definedName>
    <definedName name="omytdgoal">#REF!</definedName>
    <definedName name="other_market" localSheetId="27">#REF!</definedName>
    <definedName name="other_market" localSheetId="30">#REF!</definedName>
    <definedName name="other_market" localSheetId="10">#REF!</definedName>
    <definedName name="other_market" localSheetId="31">#REF!</definedName>
    <definedName name="other_market" localSheetId="1">#REF!</definedName>
    <definedName name="other_market" localSheetId="32">#REF!</definedName>
    <definedName name="other_market" localSheetId="2">#REF!</definedName>
    <definedName name="other_market" localSheetId="3">#REF!</definedName>
    <definedName name="other_market" localSheetId="9">#REF!</definedName>
    <definedName name="other_market" localSheetId="33">#REF!</definedName>
    <definedName name="other_market" localSheetId="5">#REF!</definedName>
    <definedName name="other_market" localSheetId="34">#REF!</definedName>
    <definedName name="other_market" localSheetId="7">#REF!</definedName>
    <definedName name="other_market" localSheetId="13">#REF!</definedName>
    <definedName name="other_market" localSheetId="17">#REF!</definedName>
    <definedName name="other_market" localSheetId="18">#REF!</definedName>
    <definedName name="other_market" localSheetId="14">#REF!</definedName>
    <definedName name="other_market" localSheetId="19">#REF!</definedName>
    <definedName name="other_market" localSheetId="20">#REF!</definedName>
    <definedName name="other_market" localSheetId="15">#REF!</definedName>
    <definedName name="other_market" localSheetId="21">#REF!</definedName>
    <definedName name="other_market" localSheetId="22">#REF!</definedName>
    <definedName name="other_market" localSheetId="16">#REF!</definedName>
    <definedName name="other_market" localSheetId="23">#REF!</definedName>
    <definedName name="other_market" localSheetId="24">#REF!</definedName>
    <definedName name="other_market" localSheetId="12">#REF!</definedName>
    <definedName name="other_market">#REF!</definedName>
    <definedName name="pmact" localSheetId="26">#REF!</definedName>
    <definedName name="pmact" localSheetId="27">#REF!</definedName>
    <definedName name="pmact" localSheetId="30">#REF!</definedName>
    <definedName name="pmact" localSheetId="25">#REF!</definedName>
    <definedName name="pmact" localSheetId="10">#REF!</definedName>
    <definedName name="pmact" localSheetId="31">#REF!</definedName>
    <definedName name="pmact" localSheetId="1">#REF!</definedName>
    <definedName name="pmact" localSheetId="32">#REF!</definedName>
    <definedName name="pmact" localSheetId="2">#REF!</definedName>
    <definedName name="pmact" localSheetId="3">#REF!</definedName>
    <definedName name="pmact" localSheetId="9">#REF!</definedName>
    <definedName name="pmact" localSheetId="33">#REF!</definedName>
    <definedName name="pmact" localSheetId="5">#REF!</definedName>
    <definedName name="pmact" localSheetId="34">#REF!</definedName>
    <definedName name="pmact" localSheetId="7">#REF!</definedName>
    <definedName name="pmact" localSheetId="13">#REF!</definedName>
    <definedName name="pmact" localSheetId="17">#REF!</definedName>
    <definedName name="pmact" localSheetId="18">#REF!</definedName>
    <definedName name="pmact" localSheetId="14">#REF!</definedName>
    <definedName name="pmact" localSheetId="19">#REF!</definedName>
    <definedName name="pmact" localSheetId="20">#REF!</definedName>
    <definedName name="pmact" localSheetId="15">#REF!</definedName>
    <definedName name="pmact" localSheetId="21">#REF!</definedName>
    <definedName name="pmact" localSheetId="22">#REF!</definedName>
    <definedName name="pmact" localSheetId="16">#REF!</definedName>
    <definedName name="pmact" localSheetId="23">#REF!</definedName>
    <definedName name="pmact" localSheetId="24">#REF!</definedName>
    <definedName name="pmact" localSheetId="12">#REF!</definedName>
    <definedName name="pmact">#REF!</definedName>
    <definedName name="pmbud" localSheetId="26">#REF!</definedName>
    <definedName name="pmbud" localSheetId="27">#REF!</definedName>
    <definedName name="pmbud" localSheetId="30">#REF!</definedName>
    <definedName name="pmbud" localSheetId="25">#REF!</definedName>
    <definedName name="pmbud" localSheetId="10">#REF!</definedName>
    <definedName name="pmbud" localSheetId="31">#REF!</definedName>
    <definedName name="pmbud" localSheetId="1">#REF!</definedName>
    <definedName name="pmbud" localSheetId="32">#REF!</definedName>
    <definedName name="pmbud" localSheetId="2">#REF!</definedName>
    <definedName name="pmbud" localSheetId="3">#REF!</definedName>
    <definedName name="pmbud" localSheetId="9">#REF!</definedName>
    <definedName name="pmbud" localSheetId="33">#REF!</definedName>
    <definedName name="pmbud" localSheetId="5">#REF!</definedName>
    <definedName name="pmbud" localSheetId="34">#REF!</definedName>
    <definedName name="pmbud" localSheetId="7">#REF!</definedName>
    <definedName name="pmbud" localSheetId="13">#REF!</definedName>
    <definedName name="pmbud" localSheetId="17">#REF!</definedName>
    <definedName name="pmbud" localSheetId="18">#REF!</definedName>
    <definedName name="pmbud" localSheetId="14">#REF!</definedName>
    <definedName name="pmbud" localSheetId="19">#REF!</definedName>
    <definedName name="pmbud" localSheetId="20">#REF!</definedName>
    <definedName name="pmbud" localSheetId="15">#REF!</definedName>
    <definedName name="pmbud" localSheetId="21">#REF!</definedName>
    <definedName name="pmbud" localSheetId="22">#REF!</definedName>
    <definedName name="pmbud" localSheetId="16">#REF!</definedName>
    <definedName name="pmbud" localSheetId="23">#REF!</definedName>
    <definedName name="pmbud" localSheetId="24">#REF!</definedName>
    <definedName name="pmbud" localSheetId="12">#REF!</definedName>
    <definedName name="pmbud">#REF!</definedName>
    <definedName name="pmfor" localSheetId="26">#REF!</definedName>
    <definedName name="pmfor" localSheetId="27">#REF!</definedName>
    <definedName name="pmfor" localSheetId="30">#REF!</definedName>
    <definedName name="pmfor" localSheetId="25">#REF!</definedName>
    <definedName name="pmfor" localSheetId="10">#REF!</definedName>
    <definedName name="pmfor" localSheetId="31">#REF!</definedName>
    <definedName name="pmfor" localSheetId="1">#REF!</definedName>
    <definedName name="pmfor" localSheetId="32">#REF!</definedName>
    <definedName name="pmfor" localSheetId="2">#REF!</definedName>
    <definedName name="pmfor" localSheetId="3">#REF!</definedName>
    <definedName name="pmfor" localSheetId="9">#REF!</definedName>
    <definedName name="pmfor" localSheetId="33">#REF!</definedName>
    <definedName name="pmfor" localSheetId="5">#REF!</definedName>
    <definedName name="pmfor" localSheetId="34">#REF!</definedName>
    <definedName name="pmfor" localSheetId="7">#REF!</definedName>
    <definedName name="pmfor" localSheetId="13">#REF!</definedName>
    <definedName name="pmfor" localSheetId="17">#REF!</definedName>
    <definedName name="pmfor" localSheetId="18">#REF!</definedName>
    <definedName name="pmfor" localSheetId="14">#REF!</definedName>
    <definedName name="pmfor" localSheetId="19">#REF!</definedName>
    <definedName name="pmfor" localSheetId="20">#REF!</definedName>
    <definedName name="pmfor" localSheetId="15">#REF!</definedName>
    <definedName name="pmfor" localSheetId="21">#REF!</definedName>
    <definedName name="pmfor" localSheetId="22">#REF!</definedName>
    <definedName name="pmfor" localSheetId="16">#REF!</definedName>
    <definedName name="pmfor" localSheetId="23">#REF!</definedName>
    <definedName name="pmfor" localSheetId="24">#REF!</definedName>
    <definedName name="pmfor" localSheetId="12">#REF!</definedName>
    <definedName name="pmfor">#REF!</definedName>
    <definedName name="pmytd" localSheetId="26">#REF!</definedName>
    <definedName name="pmytd" localSheetId="27">#REF!</definedName>
    <definedName name="pmytd" localSheetId="30">#REF!</definedName>
    <definedName name="pmytd" localSheetId="25">#REF!</definedName>
    <definedName name="pmytd" localSheetId="10">#REF!</definedName>
    <definedName name="pmytd" localSheetId="31">#REF!</definedName>
    <definedName name="pmytd" localSheetId="1">#REF!</definedName>
    <definedName name="pmytd" localSheetId="32">#REF!</definedName>
    <definedName name="pmytd" localSheetId="2">#REF!</definedName>
    <definedName name="pmytd" localSheetId="3">#REF!</definedName>
    <definedName name="pmytd" localSheetId="9">#REF!</definedName>
    <definedName name="pmytd" localSheetId="33">#REF!</definedName>
    <definedName name="pmytd" localSheetId="5">#REF!</definedName>
    <definedName name="pmytd" localSheetId="34">#REF!</definedName>
    <definedName name="pmytd" localSheetId="7">#REF!</definedName>
    <definedName name="pmytd" localSheetId="13">#REF!</definedName>
    <definedName name="pmytd" localSheetId="17">#REF!</definedName>
    <definedName name="pmytd" localSheetId="18">#REF!</definedName>
    <definedName name="pmytd" localSheetId="14">#REF!</definedName>
    <definedName name="pmytd" localSheetId="19">#REF!</definedName>
    <definedName name="pmytd" localSheetId="20">#REF!</definedName>
    <definedName name="pmytd" localSheetId="15">#REF!</definedName>
    <definedName name="pmytd" localSheetId="21">#REF!</definedName>
    <definedName name="pmytd" localSheetId="22">#REF!</definedName>
    <definedName name="pmytd" localSheetId="16">#REF!</definedName>
    <definedName name="pmytd" localSheetId="23">#REF!</definedName>
    <definedName name="pmytd" localSheetId="24">#REF!</definedName>
    <definedName name="pmytd" localSheetId="12">#REF!</definedName>
    <definedName name="pmytd">#REF!</definedName>
    <definedName name="pmytdgoal" localSheetId="27">#REF!</definedName>
    <definedName name="pmytdgoal" localSheetId="30">#REF!</definedName>
    <definedName name="pmytdgoal" localSheetId="10">#REF!</definedName>
    <definedName name="pmytdgoal" localSheetId="31">#REF!</definedName>
    <definedName name="pmytdgoal" localSheetId="1">#REF!</definedName>
    <definedName name="pmytdgoal" localSheetId="32">#REF!</definedName>
    <definedName name="pmytdgoal" localSheetId="2">#REF!</definedName>
    <definedName name="pmytdgoal" localSheetId="3">#REF!</definedName>
    <definedName name="pmytdgoal" localSheetId="9">#REF!</definedName>
    <definedName name="pmytdgoal" localSheetId="33">#REF!</definedName>
    <definedName name="pmytdgoal" localSheetId="5">#REF!</definedName>
    <definedName name="pmytdgoal" localSheetId="34">#REF!</definedName>
    <definedName name="pmytdgoal" localSheetId="7">#REF!</definedName>
    <definedName name="pmytdgoal" localSheetId="13">#REF!</definedName>
    <definedName name="pmytdgoal" localSheetId="17">#REF!</definedName>
    <definedName name="pmytdgoal" localSheetId="18">#REF!</definedName>
    <definedName name="pmytdgoal" localSheetId="14">#REF!</definedName>
    <definedName name="pmytdgoal" localSheetId="19">#REF!</definedName>
    <definedName name="pmytdgoal" localSheetId="20">#REF!</definedName>
    <definedName name="pmytdgoal" localSheetId="15">#REF!</definedName>
    <definedName name="pmytdgoal" localSheetId="21">#REF!</definedName>
    <definedName name="pmytdgoal" localSheetId="22">#REF!</definedName>
    <definedName name="pmytdgoal" localSheetId="16">#REF!</definedName>
    <definedName name="pmytdgoal" localSheetId="23">#REF!</definedName>
    <definedName name="pmytdgoal" localSheetId="24">#REF!</definedName>
    <definedName name="pmytdgoal" localSheetId="12">#REF!</definedName>
    <definedName name="pmytdgoal">#REF!</definedName>
    <definedName name="pr" localSheetId="12" hidden="1">{#N/A,#N/A,FALSE,"TITLEPG";#N/A,#N/A,FALSE,"INDEX";#N/A,#N/A,FALSE,"BKTAXINCOME";#N/A,#N/A,FALSE,"INTERESTALLOC";#N/A,#N/A,FALSE,"FITCALC";#N/A,#N/A,FALSE,"CCBT";#N/A,#N/A,FALSE,"CGE";#N/A,#N/A,FALSE,"MFT";#N/A,#N/A,FALSE,"NHBPT";#N/A,#N/A,FALSE,"OPPERMEVENTS";#N/A,#N/A,FALSE,"NONOPPERMEVENTS";#N/A,#N/A,FALSE,"OPTIMEVENTS";#N/A,#N/A,FALSE,"NONOPTIMEVENTS";#N/A,#N/A,FALSE,"DEPREC";#N/A,#N/A,FALSE,"OPPERMDIFF";#N/A,#N/A,FALSE,"NONOPPERMDIFF";#N/A,#N/A,FALSE,"OPTIMDIFF";#N/A,#N/A,FALSE,"NONOPTIMDIFF";#N/A,#N/A,FALSE,"OP190CRQTR";#N/A,#N/A,FALSE,"NONOP190CRQTR";#N/A,#N/A,FALSE,"OP190CRYTD";#N/A,#N/A,FALSE,"NONOP190CRYTD";#N/A,#N/A,FALSE,"OP190PRYTD";#N/A,#N/A,FALSE,"NONOP190PRYTD";#N/A,#N/A,FALSE,"OP282CRQTR";#N/A,#N/A,FALSE,"NONOP282CRQTR";#N/A,#N/A,FALSE,"OP282CRYTD";#N/A,#N/A,FALSE,"NONOP282CRYTD";#N/A,#N/A,FALSE,"OP282PRYTD";#N/A,#N/A,FALSE,"NONOP282PRYTD";#N/A,#N/A,FALSE,"OP283CRQTR";#N/A,#N/A,FALSE,"NONOP283CRQTR";#N/A,#N/A,FALSE,"OP283CRYTD";#N/A,#N/A,FALSE,"NONOP283CRYTD";#N/A,#N/A,FALSE,"OP283PRYTD";#N/A,#N/A,FALSE,"NONOP283PRYTD";#N/A,#N/A,FALSE,"DITSUM";#N/A,#N/A,FALSE,"CRYTDACREC";#N/A,#N/A,FALSE,"PRYTDACREC";#N/A,#N/A,FALSE,"SYSJRNL";#N/A,#N/A,FALSE,"FAS109 OPERATING";#N/A,#N/A,FALSE,"FAS109 NONOPERATING"}</definedName>
    <definedName name="pr" hidden="1">{#N/A,#N/A,FALSE,"TITLEPG";#N/A,#N/A,FALSE,"INDEX";#N/A,#N/A,FALSE,"BKTAXINCOME";#N/A,#N/A,FALSE,"INTERESTALLOC";#N/A,#N/A,FALSE,"FITCALC";#N/A,#N/A,FALSE,"CCBT";#N/A,#N/A,FALSE,"CGE";#N/A,#N/A,FALSE,"MFT";#N/A,#N/A,FALSE,"NHBPT";#N/A,#N/A,FALSE,"OPPERMEVENTS";#N/A,#N/A,FALSE,"NONOPPERMEVENTS";#N/A,#N/A,FALSE,"OPTIMEVENTS";#N/A,#N/A,FALSE,"NONOPTIMEVENTS";#N/A,#N/A,FALSE,"DEPREC";#N/A,#N/A,FALSE,"OPPERMDIFF";#N/A,#N/A,FALSE,"NONOPPERMDIFF";#N/A,#N/A,FALSE,"OPTIMDIFF";#N/A,#N/A,FALSE,"NONOPTIMDIFF";#N/A,#N/A,FALSE,"OP190CRQTR";#N/A,#N/A,FALSE,"NONOP190CRQTR";#N/A,#N/A,FALSE,"OP190CRYTD";#N/A,#N/A,FALSE,"NONOP190CRYTD";#N/A,#N/A,FALSE,"OP190PRYTD";#N/A,#N/A,FALSE,"NONOP190PRYTD";#N/A,#N/A,FALSE,"OP282CRQTR";#N/A,#N/A,FALSE,"NONOP282CRQTR";#N/A,#N/A,FALSE,"OP282CRYTD";#N/A,#N/A,FALSE,"NONOP282CRYTD";#N/A,#N/A,FALSE,"OP282PRYTD";#N/A,#N/A,FALSE,"NONOP282PRYTD";#N/A,#N/A,FALSE,"OP283CRQTR";#N/A,#N/A,FALSE,"NONOP283CRQTR";#N/A,#N/A,FALSE,"OP283CRYTD";#N/A,#N/A,FALSE,"NONOP283CRYTD";#N/A,#N/A,FALSE,"OP283PRYTD";#N/A,#N/A,FALSE,"NONOP283PRYTD";#N/A,#N/A,FALSE,"DITSUM";#N/A,#N/A,FALSE,"CRYTDACREC";#N/A,#N/A,FALSE,"PRYTDACREC";#N/A,#N/A,FALSE,"SYSJRNL";#N/A,#N/A,FALSE,"FAS109 OPERATING";#N/A,#N/A,FALSE,"FAS109 NONOPERATING"}</definedName>
    <definedName name="print_ad" localSheetId="27">#REF!</definedName>
    <definedName name="print_ad" localSheetId="30">#REF!</definedName>
    <definedName name="print_ad" localSheetId="10">#REF!</definedName>
    <definedName name="print_ad" localSheetId="31">#REF!</definedName>
    <definedName name="print_ad" localSheetId="1">#REF!</definedName>
    <definedName name="print_ad" localSheetId="32">#REF!</definedName>
    <definedName name="print_ad" localSheetId="2">#REF!</definedName>
    <definedName name="print_ad" localSheetId="3">#REF!</definedName>
    <definedName name="print_ad" localSheetId="9">#REF!</definedName>
    <definedName name="print_ad" localSheetId="33">#REF!</definedName>
    <definedName name="print_ad" localSheetId="5">#REF!</definedName>
    <definedName name="print_ad" localSheetId="34">#REF!</definedName>
    <definedName name="print_ad" localSheetId="7">#REF!</definedName>
    <definedName name="print_ad" localSheetId="13">#REF!</definedName>
    <definedName name="print_ad" localSheetId="17">#REF!</definedName>
    <definedName name="print_ad" localSheetId="18">#REF!</definedName>
    <definedName name="print_ad" localSheetId="14">#REF!</definedName>
    <definedName name="print_ad" localSheetId="19">#REF!</definedName>
    <definedName name="print_ad" localSheetId="20">#REF!</definedName>
    <definedName name="print_ad" localSheetId="15">#REF!</definedName>
    <definedName name="print_ad" localSheetId="21">#REF!</definedName>
    <definedName name="print_ad" localSheetId="22">#REF!</definedName>
    <definedName name="print_ad" localSheetId="16">#REF!</definedName>
    <definedName name="print_ad" localSheetId="23">#REF!</definedName>
    <definedName name="print_ad" localSheetId="24">#REF!</definedName>
    <definedName name="print_ad" localSheetId="12">#REF!</definedName>
    <definedName name="print_ad">#REF!</definedName>
    <definedName name="_xlnm.Print_Area" localSheetId="26">'2014-24 ES CT G Table D1 AnnCCF'!$C$2:$I$34</definedName>
    <definedName name="_xlnm.Print_Area" localSheetId="27">'2014-24 ES CT G Table D2LifeCCF'!$C$1:$I$32</definedName>
    <definedName name="_xlnm.Print_Area" localSheetId="30">'2014-24 ES CT G Table D5-Units'!$C$2:$I$33</definedName>
    <definedName name="_xlnm.Print_Area" localSheetId="25">'2014-25 ES CT G Table D-Proj $'!$C$2:$I$59</definedName>
    <definedName name="_xlnm.Print_Area" localSheetId="31">'2021 ES CT PMI'!$B$2:$K$63</definedName>
    <definedName name="_xlnm.Print_Area" localSheetId="32">'2022 ES CT PMI'!$B$2:$K$63</definedName>
    <definedName name="_xlnm.Print_Area" localSheetId="33">'2023 ES CT PMI'!$B$2:$K$63</definedName>
    <definedName name="_xlnm.Print_Area" localSheetId="34">'2024 ES CT PMI '!$B$2:$K$63</definedName>
    <definedName name="_xlnm.Print_Area" localSheetId="17">'ES CT Gas 2021 Table C '!$C$2:$L$48</definedName>
    <definedName name="_xlnm.Print_Area" localSheetId="19">'ES CT Gas 2022 Table C  '!$C$2:$L$48</definedName>
    <definedName name="_xlnm.Print_Area" localSheetId="21">'ES CT Gas 2023 Table C '!$C$2:$L$48</definedName>
    <definedName name="_xlnm.Print_Area" localSheetId="23">'ES CT Gas 2024 Table C  '!$C$2:$L$48</definedName>
    <definedName name="_xlnm.Print_Area" localSheetId="11">'ES CT Gas Table A'!$C$2:$M$50</definedName>
    <definedName name="_xlnm.Print_Area" localSheetId="12">'Table A Pie Sector Alloc2022-24'!$A$1:$N$30</definedName>
    <definedName name="_xlnm.Print_Titles" localSheetId="31">'2021 ES CT PMI'!$23:$25</definedName>
    <definedName name="_xlnm.Print_Titles" localSheetId="32">'2022 ES CT PMI'!$23:$25</definedName>
    <definedName name="_xlnm.Print_Titles" localSheetId="33">'2023 ES CT PMI'!$23:$25</definedName>
    <definedName name="_xlnm.Print_Titles" localSheetId="34">'2024 ES CT PMI '!$23:$25</definedName>
    <definedName name="pro_budget_2006" localSheetId="27">#REF!</definedName>
    <definedName name="pro_budget_2006" localSheetId="30">#REF!</definedName>
    <definedName name="pro_budget_2006" localSheetId="10">#REF!</definedName>
    <definedName name="pro_budget_2006" localSheetId="31">#REF!</definedName>
    <definedName name="pro_budget_2006" localSheetId="1">#REF!</definedName>
    <definedName name="pro_budget_2006" localSheetId="32">#REF!</definedName>
    <definedName name="pro_budget_2006" localSheetId="2">#REF!</definedName>
    <definedName name="pro_budget_2006" localSheetId="3">#REF!</definedName>
    <definedName name="pro_budget_2006" localSheetId="9">#REF!</definedName>
    <definedName name="pro_budget_2006" localSheetId="33">#REF!</definedName>
    <definedName name="pro_budget_2006" localSheetId="5">#REF!</definedName>
    <definedName name="pro_budget_2006" localSheetId="34">#REF!</definedName>
    <definedName name="pro_budget_2006" localSheetId="7">#REF!</definedName>
    <definedName name="pro_budget_2006" localSheetId="13">#REF!</definedName>
    <definedName name="pro_budget_2006" localSheetId="17">#REF!</definedName>
    <definedName name="pro_budget_2006" localSheetId="18">#REF!</definedName>
    <definedName name="pro_budget_2006" localSheetId="14">#REF!</definedName>
    <definedName name="pro_budget_2006" localSheetId="19">#REF!</definedName>
    <definedName name="pro_budget_2006" localSheetId="20">#REF!</definedName>
    <definedName name="pro_budget_2006" localSheetId="15">#REF!</definedName>
    <definedName name="pro_budget_2006" localSheetId="21">#REF!</definedName>
    <definedName name="pro_budget_2006" localSheetId="22">#REF!</definedName>
    <definedName name="pro_budget_2006" localSheetId="16">#REF!</definedName>
    <definedName name="pro_budget_2006" localSheetId="23">#REF!</definedName>
    <definedName name="pro_budget_2006" localSheetId="24">#REF!</definedName>
    <definedName name="pro_budget_2006" localSheetId="12">'[1]CLM Programs'!#REF!</definedName>
    <definedName name="pro_budget_2006">#REF!</definedName>
    <definedName name="program_name" localSheetId="12">'[5]Title Page'!$B$33</definedName>
    <definedName name="program_name">'[6]Title Page'!$B$33</definedName>
    <definedName name="public_relation" localSheetId="27">#REF!</definedName>
    <definedName name="public_relation" localSheetId="30">#REF!</definedName>
    <definedName name="public_relation" localSheetId="10">#REF!</definedName>
    <definedName name="public_relation" localSheetId="31">#REF!</definedName>
    <definedName name="public_relation" localSheetId="1">#REF!</definedName>
    <definedName name="public_relation" localSheetId="0">#REF!</definedName>
    <definedName name="public_relation" localSheetId="32">#REF!</definedName>
    <definedName name="public_relation" localSheetId="2">#REF!</definedName>
    <definedName name="public_relation" localSheetId="3">#REF!</definedName>
    <definedName name="public_relation" localSheetId="9">#REF!</definedName>
    <definedName name="public_relation" localSheetId="33">#REF!</definedName>
    <definedName name="public_relation" localSheetId="5">#REF!</definedName>
    <definedName name="public_relation" localSheetId="34">#REF!</definedName>
    <definedName name="public_relation" localSheetId="7">#REF!</definedName>
    <definedName name="public_relation" localSheetId="13">#REF!</definedName>
    <definedName name="public_relation" localSheetId="17">#REF!</definedName>
    <definedName name="public_relation" localSheetId="18">#REF!</definedName>
    <definedName name="public_relation" localSheetId="14">#REF!</definedName>
    <definedName name="public_relation" localSheetId="19">#REF!</definedName>
    <definedName name="public_relation" localSheetId="20">#REF!</definedName>
    <definedName name="public_relation" localSheetId="15">#REF!</definedName>
    <definedName name="public_relation" localSheetId="21">#REF!</definedName>
    <definedName name="public_relation" localSheetId="22">#REF!</definedName>
    <definedName name="public_relation" localSheetId="16">#REF!</definedName>
    <definedName name="public_relation" localSheetId="23">#REF!</definedName>
    <definedName name="public_relation" localSheetId="24">#REF!</definedName>
    <definedName name="public_relation" localSheetId="12">#REF!</definedName>
    <definedName name="public_relation">#REF!</definedName>
    <definedName name="Resi_Dollars_per_kW" localSheetId="31">'[3]EB $'!#REF!</definedName>
    <definedName name="Resi_Dollars_per_kW" localSheetId="1">'[3]EB $'!#REF!</definedName>
    <definedName name="Resi_Dollars_per_kW" localSheetId="32">'[3]EB $'!#REF!</definedName>
    <definedName name="Resi_Dollars_per_kW" localSheetId="2">'[3]EB $'!#REF!</definedName>
    <definedName name="Resi_Dollars_per_kW" localSheetId="3">'[3]EB $'!#REF!</definedName>
    <definedName name="Resi_Dollars_per_kW" localSheetId="33">'[3]EB $'!#REF!</definedName>
    <definedName name="Resi_Dollars_per_kW" localSheetId="5">'[3]EB $'!#REF!</definedName>
    <definedName name="Resi_Dollars_per_kW" localSheetId="34">'[3]EB $'!#REF!</definedName>
    <definedName name="Resi_Dollars_per_kW" localSheetId="7">'[3]EB $'!#REF!</definedName>
    <definedName name="Resi_Dollars_per_kW" localSheetId="13">'[3]EB $'!#REF!</definedName>
    <definedName name="Resi_Dollars_per_kW" localSheetId="17">'[3]EB $'!#REF!</definedName>
    <definedName name="Resi_Dollars_per_kW" localSheetId="18">'[3]EB $'!#REF!</definedName>
    <definedName name="Resi_Dollars_per_kW" localSheetId="14">'[3]EB $'!#REF!</definedName>
    <definedName name="Resi_Dollars_per_kW" localSheetId="19">'[3]EB $'!#REF!</definedName>
    <definedName name="Resi_Dollars_per_kW" localSheetId="20">'[3]EB $'!#REF!</definedName>
    <definedName name="Resi_Dollars_per_kW" localSheetId="15">'[3]EB $'!#REF!</definedName>
    <definedName name="Resi_Dollars_per_kW" localSheetId="21">'[3]EB $'!#REF!</definedName>
    <definedName name="Resi_Dollars_per_kW" localSheetId="22">'[3]EB $'!#REF!</definedName>
    <definedName name="Resi_Dollars_per_kW" localSheetId="16">'[3]EB $'!#REF!</definedName>
    <definedName name="Resi_Dollars_per_kW" localSheetId="23">'[3]EB $'!#REF!</definedName>
    <definedName name="Resi_Dollars_per_kW" localSheetId="24">'[3]EB $'!#REF!</definedName>
    <definedName name="Resi_Dollars_per_kW">'[3]EB $'!#REF!</definedName>
    <definedName name="Resi_Dollars_Per_kWh" localSheetId="31">'[3]EB $'!#REF!</definedName>
    <definedName name="Resi_Dollars_Per_kWh" localSheetId="1">'[3]EB $'!#REF!</definedName>
    <definedName name="Resi_Dollars_Per_kWh" localSheetId="32">'[3]EB $'!#REF!</definedName>
    <definedName name="Resi_Dollars_Per_kWh" localSheetId="2">'[3]EB $'!#REF!</definedName>
    <definedName name="Resi_Dollars_Per_kWh" localSheetId="3">'[3]EB $'!#REF!</definedName>
    <definedName name="Resi_Dollars_Per_kWh" localSheetId="33">'[3]EB $'!#REF!</definedName>
    <definedName name="Resi_Dollars_Per_kWh" localSheetId="5">'[3]EB $'!#REF!</definedName>
    <definedName name="Resi_Dollars_Per_kWh" localSheetId="34">'[3]EB $'!#REF!</definedName>
    <definedName name="Resi_Dollars_Per_kWh" localSheetId="7">'[3]EB $'!#REF!</definedName>
    <definedName name="Resi_Dollars_Per_kWh" localSheetId="13">'[3]EB $'!#REF!</definedName>
    <definedName name="Resi_Dollars_Per_kWh" localSheetId="17">'[3]EB $'!#REF!</definedName>
    <definedName name="Resi_Dollars_Per_kWh" localSheetId="18">'[3]EB $'!#REF!</definedName>
    <definedName name="Resi_Dollars_Per_kWh" localSheetId="14">'[3]EB $'!#REF!</definedName>
    <definedName name="Resi_Dollars_Per_kWh" localSheetId="19">'[3]EB $'!#REF!</definedName>
    <definedName name="Resi_Dollars_Per_kWh" localSheetId="20">'[3]EB $'!#REF!</definedName>
    <definedName name="Resi_Dollars_Per_kWh" localSheetId="15">'[3]EB $'!#REF!</definedName>
    <definedName name="Resi_Dollars_Per_kWh" localSheetId="21">'[3]EB $'!#REF!</definedName>
    <definedName name="Resi_Dollars_Per_kWh" localSheetId="22">'[3]EB $'!#REF!</definedName>
    <definedName name="Resi_Dollars_Per_kWh" localSheetId="16">'[3]EB $'!#REF!</definedName>
    <definedName name="Resi_Dollars_Per_kWh" localSheetId="23">'[3]EB $'!#REF!</definedName>
    <definedName name="Resi_Dollars_Per_kWh" localSheetId="24">'[3]EB $'!#REF!</definedName>
    <definedName name="Resi_Dollars_Per_kWh">'[3]EB $'!#REF!</definedName>
    <definedName name="RORD">[7]ROR!$A$2:$O$201</definedName>
    <definedName name="rpytdgoal" localSheetId="27">#REF!</definedName>
    <definedName name="rpytdgoal" localSheetId="30">#REF!</definedName>
    <definedName name="rpytdgoal" localSheetId="10">#REF!</definedName>
    <definedName name="rpytdgoal" localSheetId="31">#REF!</definedName>
    <definedName name="rpytdgoal" localSheetId="1">#REF!</definedName>
    <definedName name="rpytdgoal" localSheetId="0">#REF!</definedName>
    <definedName name="rpytdgoal" localSheetId="32">#REF!</definedName>
    <definedName name="rpytdgoal" localSheetId="2">#REF!</definedName>
    <definedName name="rpytdgoal" localSheetId="3">#REF!</definedName>
    <definedName name="rpytdgoal" localSheetId="9">#REF!</definedName>
    <definedName name="rpytdgoal" localSheetId="33">#REF!</definedName>
    <definedName name="rpytdgoal" localSheetId="5">#REF!</definedName>
    <definedName name="rpytdgoal" localSheetId="34">#REF!</definedName>
    <definedName name="rpytdgoal" localSheetId="7">#REF!</definedName>
    <definedName name="rpytdgoal" localSheetId="13">#REF!</definedName>
    <definedName name="rpytdgoal" localSheetId="17">#REF!</definedName>
    <definedName name="rpytdgoal" localSheetId="18">#REF!</definedName>
    <definedName name="rpytdgoal" localSheetId="14">#REF!</definedName>
    <definedName name="rpytdgoal" localSheetId="19">#REF!</definedName>
    <definedName name="rpytdgoal" localSheetId="20">#REF!</definedName>
    <definedName name="rpytdgoal" localSheetId="15">#REF!</definedName>
    <definedName name="rpytdgoal" localSheetId="21">#REF!</definedName>
    <definedName name="rpytdgoal" localSheetId="22">#REF!</definedName>
    <definedName name="rpytdgoal" localSheetId="16">#REF!</definedName>
    <definedName name="rpytdgoal" localSheetId="23">#REF!</definedName>
    <definedName name="rpytdgoal" localSheetId="24">#REF!</definedName>
    <definedName name="rpytdgoal" localSheetId="12">#REF!</definedName>
    <definedName name="rpytdgoal">#REF!</definedName>
    <definedName name="rrytd" localSheetId="26">#REF!</definedName>
    <definedName name="rrytd" localSheetId="27">#REF!</definedName>
    <definedName name="rrytd" localSheetId="30">#REF!</definedName>
    <definedName name="rrytd" localSheetId="25">#REF!</definedName>
    <definedName name="rrytd" localSheetId="10">#REF!</definedName>
    <definedName name="rrytd" localSheetId="31">#REF!</definedName>
    <definedName name="rrytd" localSheetId="1">#REF!</definedName>
    <definedName name="rrytd" localSheetId="0">#REF!</definedName>
    <definedName name="rrytd" localSheetId="32">#REF!</definedName>
    <definedName name="rrytd" localSheetId="2">#REF!</definedName>
    <definedName name="rrytd" localSheetId="3">#REF!</definedName>
    <definedName name="rrytd" localSheetId="9">#REF!</definedName>
    <definedName name="rrytd" localSheetId="33">#REF!</definedName>
    <definedName name="rrytd" localSheetId="5">#REF!</definedName>
    <definedName name="rrytd" localSheetId="34">#REF!</definedName>
    <definedName name="rrytd" localSheetId="7">#REF!</definedName>
    <definedName name="rrytd" localSheetId="13">#REF!</definedName>
    <definedName name="rrytd" localSheetId="17">#REF!</definedName>
    <definedName name="rrytd" localSheetId="18">#REF!</definedName>
    <definedName name="rrytd" localSheetId="14">#REF!</definedName>
    <definedName name="rrytd" localSheetId="19">#REF!</definedName>
    <definedName name="rrytd" localSheetId="20">#REF!</definedName>
    <definedName name="rrytd" localSheetId="15">#REF!</definedName>
    <definedName name="rrytd" localSheetId="21">#REF!</definedName>
    <definedName name="rrytd" localSheetId="22">#REF!</definedName>
    <definedName name="rrytd" localSheetId="16">#REF!</definedName>
    <definedName name="rrytd" localSheetId="23">#REF!</definedName>
    <definedName name="rrytd" localSheetId="24">#REF!</definedName>
    <definedName name="rrytd" localSheetId="12">#REF!</definedName>
    <definedName name="rrytd">#REF!</definedName>
    <definedName name="rrytdgoal" localSheetId="27">#REF!</definedName>
    <definedName name="rrytdgoal" localSheetId="30">#REF!</definedName>
    <definedName name="rrytdgoal" localSheetId="10">#REF!</definedName>
    <definedName name="rrytdgoal" localSheetId="31">#REF!</definedName>
    <definedName name="rrytdgoal" localSheetId="1">#REF!</definedName>
    <definedName name="rrytdgoal" localSheetId="32">#REF!</definedName>
    <definedName name="rrytdgoal" localSheetId="2">#REF!</definedName>
    <definedName name="rrytdgoal" localSheetId="3">#REF!</definedName>
    <definedName name="rrytdgoal" localSheetId="9">#REF!</definedName>
    <definedName name="rrytdgoal" localSheetId="33">#REF!</definedName>
    <definedName name="rrytdgoal" localSheetId="5">#REF!</definedName>
    <definedName name="rrytdgoal" localSheetId="34">#REF!</definedName>
    <definedName name="rrytdgoal" localSheetId="7">#REF!</definedName>
    <definedName name="rrytdgoal" localSheetId="13">#REF!</definedName>
    <definedName name="rrytdgoal" localSheetId="17">#REF!</definedName>
    <definedName name="rrytdgoal" localSheetId="18">#REF!</definedName>
    <definedName name="rrytdgoal" localSheetId="14">#REF!</definedName>
    <definedName name="rrytdgoal" localSheetId="19">#REF!</definedName>
    <definedName name="rrytdgoal" localSheetId="20">#REF!</definedName>
    <definedName name="rrytdgoal" localSheetId="15">#REF!</definedName>
    <definedName name="rrytdgoal" localSheetId="21">#REF!</definedName>
    <definedName name="rrytdgoal" localSheetId="22">#REF!</definedName>
    <definedName name="rrytdgoal" localSheetId="16">#REF!</definedName>
    <definedName name="rrytdgoal" localSheetId="23">#REF!</definedName>
    <definedName name="rrytdgoal" localSheetId="24">#REF!</definedName>
    <definedName name="rrytdgoal" localSheetId="12">#REF!</definedName>
    <definedName name="rrytdgoal">#REF!</definedName>
    <definedName name="sbytd" localSheetId="26">#REF!</definedName>
    <definedName name="sbytd" localSheetId="27">#REF!</definedName>
    <definedName name="sbytd" localSheetId="30">#REF!</definedName>
    <definedName name="sbytd" localSheetId="25">#REF!</definedName>
    <definedName name="sbytd" localSheetId="10">#REF!</definedName>
    <definedName name="sbytd" localSheetId="31">#REF!</definedName>
    <definedName name="sbytd" localSheetId="1">#REF!</definedName>
    <definedName name="sbytd" localSheetId="32">#REF!</definedName>
    <definedName name="sbytd" localSheetId="2">#REF!</definedName>
    <definedName name="sbytd" localSheetId="3">#REF!</definedName>
    <definedName name="sbytd" localSheetId="9">#REF!</definedName>
    <definedName name="sbytd" localSheetId="33">#REF!</definedName>
    <definedName name="sbytd" localSheetId="5">#REF!</definedName>
    <definedName name="sbytd" localSheetId="34">#REF!</definedName>
    <definedName name="sbytd" localSheetId="7">#REF!</definedName>
    <definedName name="sbytd" localSheetId="13">#REF!</definedName>
    <definedName name="sbytd" localSheetId="17">#REF!</definedName>
    <definedName name="sbytd" localSheetId="18">#REF!</definedName>
    <definedName name="sbytd" localSheetId="14">#REF!</definedName>
    <definedName name="sbytd" localSheetId="19">#REF!</definedName>
    <definedName name="sbytd" localSheetId="20">#REF!</definedName>
    <definedName name="sbytd" localSheetId="15">#REF!</definedName>
    <definedName name="sbytd" localSheetId="21">#REF!</definedName>
    <definedName name="sbytd" localSheetId="22">#REF!</definedName>
    <definedName name="sbytd" localSheetId="16">#REF!</definedName>
    <definedName name="sbytd" localSheetId="23">#REF!</definedName>
    <definedName name="sbytd" localSheetId="24">#REF!</definedName>
    <definedName name="sbytd" localSheetId="12">#REF!</definedName>
    <definedName name="sbytd">#REF!</definedName>
    <definedName name="sbytdgoal" localSheetId="27">#REF!</definedName>
    <definedName name="sbytdgoal" localSheetId="30">#REF!</definedName>
    <definedName name="sbytdgoal" localSheetId="10">#REF!</definedName>
    <definedName name="sbytdgoal" localSheetId="31">#REF!</definedName>
    <definedName name="sbytdgoal" localSheetId="1">#REF!</definedName>
    <definedName name="sbytdgoal" localSheetId="32">#REF!</definedName>
    <definedName name="sbytdgoal" localSheetId="2">#REF!</definedName>
    <definedName name="sbytdgoal" localSheetId="3">#REF!</definedName>
    <definedName name="sbytdgoal" localSheetId="9">#REF!</definedName>
    <definedName name="sbytdgoal" localSheetId="33">#REF!</definedName>
    <definedName name="sbytdgoal" localSheetId="5">#REF!</definedName>
    <definedName name="sbytdgoal" localSheetId="34">#REF!</definedName>
    <definedName name="sbytdgoal" localSheetId="7">#REF!</definedName>
    <definedName name="sbytdgoal" localSheetId="13">#REF!</definedName>
    <definedName name="sbytdgoal" localSheetId="17">#REF!</definedName>
    <definedName name="sbytdgoal" localSheetId="18">#REF!</definedName>
    <definedName name="sbytdgoal" localSheetId="14">#REF!</definedName>
    <definedName name="sbytdgoal" localSheetId="19">#REF!</definedName>
    <definedName name="sbytdgoal" localSheetId="20">#REF!</definedName>
    <definedName name="sbytdgoal" localSheetId="15">#REF!</definedName>
    <definedName name="sbytdgoal" localSheetId="21">#REF!</definedName>
    <definedName name="sbytdgoal" localSheetId="22">#REF!</definedName>
    <definedName name="sbytdgoal" localSheetId="16">#REF!</definedName>
    <definedName name="sbytdgoal" localSheetId="23">#REF!</definedName>
    <definedName name="sbytdgoal" localSheetId="24">#REF!</definedName>
    <definedName name="sbytdgoal" localSheetId="12">#REF!</definedName>
    <definedName name="sbytdgoal">#REF!</definedName>
    <definedName name="tableA_Budget_3_8_05" localSheetId="27">#REF!</definedName>
    <definedName name="tableA_Budget_3_8_05" localSheetId="30">#REF!</definedName>
    <definedName name="tableA_Budget_3_8_05" localSheetId="10">#REF!</definedName>
    <definedName name="tableA_Budget_3_8_05" localSheetId="31">#REF!</definedName>
    <definedName name="tableA_Budget_3_8_05" localSheetId="1">#REF!</definedName>
    <definedName name="tableA_Budget_3_8_05" localSheetId="32">#REF!</definedName>
    <definedName name="tableA_Budget_3_8_05" localSheetId="2">#REF!</definedName>
    <definedName name="tableA_Budget_3_8_05" localSheetId="3">#REF!</definedName>
    <definedName name="tableA_Budget_3_8_05" localSheetId="9">#REF!</definedName>
    <definedName name="tableA_Budget_3_8_05" localSheetId="33">#REF!</definedName>
    <definedName name="tableA_Budget_3_8_05" localSheetId="5">#REF!</definedName>
    <definedName name="tableA_Budget_3_8_05" localSheetId="34">#REF!</definedName>
    <definedName name="tableA_Budget_3_8_05" localSheetId="7">#REF!</definedName>
    <definedName name="tableA_Budget_3_8_05" localSheetId="13">#REF!</definedName>
    <definedName name="tableA_Budget_3_8_05" localSheetId="17">#REF!</definedName>
    <definedName name="tableA_Budget_3_8_05" localSheetId="18">#REF!</definedName>
    <definedName name="tableA_Budget_3_8_05" localSheetId="14">#REF!</definedName>
    <definedName name="tableA_Budget_3_8_05" localSheetId="19">#REF!</definedName>
    <definedName name="tableA_Budget_3_8_05" localSheetId="20">#REF!</definedName>
    <definedName name="tableA_Budget_3_8_05" localSheetId="15">#REF!</definedName>
    <definedName name="tableA_Budget_3_8_05" localSheetId="21">#REF!</definedName>
    <definedName name="tableA_Budget_3_8_05" localSheetId="22">#REF!</definedName>
    <definedName name="tableA_Budget_3_8_05" localSheetId="16">#REF!</definedName>
    <definedName name="tableA_Budget_3_8_05" localSheetId="23">#REF!</definedName>
    <definedName name="tableA_Budget_3_8_05" localSheetId="24">#REF!</definedName>
    <definedName name="tableA_Budget_3_8_05" localSheetId="12">'[1]CLM Programs'!#REF!</definedName>
    <definedName name="tableA_Budget_3_8_05">#REF!</definedName>
    <definedName name="TableA_DPUC_changes" localSheetId="27">#REF!</definedName>
    <definedName name="TableA_DPUC_changes" localSheetId="30">#REF!</definedName>
    <definedName name="TableA_DPUC_changes" localSheetId="10">#REF!</definedName>
    <definedName name="TableA_DPUC_changes" localSheetId="31">#REF!</definedName>
    <definedName name="TableA_DPUC_changes" localSheetId="1">#REF!</definedName>
    <definedName name="TableA_DPUC_changes" localSheetId="32">#REF!</definedName>
    <definedName name="TableA_DPUC_changes" localSheetId="2">#REF!</definedName>
    <definedName name="TableA_DPUC_changes" localSheetId="3">#REF!</definedName>
    <definedName name="TableA_DPUC_changes" localSheetId="9">#REF!</definedName>
    <definedName name="TableA_DPUC_changes" localSheetId="33">#REF!</definedName>
    <definedName name="TableA_DPUC_changes" localSheetId="5">#REF!</definedName>
    <definedName name="TableA_DPUC_changes" localSheetId="34">#REF!</definedName>
    <definedName name="TableA_DPUC_changes" localSheetId="7">#REF!</definedName>
    <definedName name="TableA_DPUC_changes" localSheetId="13">#REF!</definedName>
    <definedName name="TableA_DPUC_changes" localSheetId="17">#REF!</definedName>
    <definedName name="TableA_DPUC_changes" localSheetId="18">#REF!</definedName>
    <definedName name="TableA_DPUC_changes" localSheetId="14">#REF!</definedName>
    <definedName name="TableA_DPUC_changes" localSheetId="19">#REF!</definedName>
    <definedName name="TableA_DPUC_changes" localSheetId="20">#REF!</definedName>
    <definedName name="TableA_DPUC_changes" localSheetId="15">#REF!</definedName>
    <definedName name="TableA_DPUC_changes" localSheetId="21">#REF!</definedName>
    <definedName name="TableA_DPUC_changes" localSheetId="22">#REF!</definedName>
    <definedName name="TableA_DPUC_changes" localSheetId="16">#REF!</definedName>
    <definedName name="TableA_DPUC_changes" localSheetId="23">#REF!</definedName>
    <definedName name="TableA_DPUC_changes" localSheetId="24">#REF!</definedName>
    <definedName name="TableA_DPUC_changes" localSheetId="12">'[1]CLM Programs'!#REF!</definedName>
    <definedName name="TableA_DPUC_changes">#REF!</definedName>
    <definedName name="TableA_DPUC_market_adj" localSheetId="27">#REF!</definedName>
    <definedName name="TableA_DPUC_market_adj" localSheetId="30">#REF!</definedName>
    <definedName name="TableA_DPUC_market_adj" localSheetId="10">#REF!</definedName>
    <definedName name="TableA_DPUC_market_adj" localSheetId="31">#REF!</definedName>
    <definedName name="TableA_DPUC_market_adj" localSheetId="1">#REF!</definedName>
    <definedName name="TableA_DPUC_market_adj" localSheetId="32">#REF!</definedName>
    <definedName name="TableA_DPUC_market_adj" localSheetId="2">#REF!</definedName>
    <definedName name="TableA_DPUC_market_adj" localSheetId="3">#REF!</definedName>
    <definedName name="TableA_DPUC_market_adj" localSheetId="9">#REF!</definedName>
    <definedName name="TableA_DPUC_market_adj" localSheetId="33">#REF!</definedName>
    <definedName name="TableA_DPUC_market_adj" localSheetId="5">#REF!</definedName>
    <definedName name="TableA_DPUC_market_adj" localSheetId="34">#REF!</definedName>
    <definedName name="TableA_DPUC_market_adj" localSheetId="7">#REF!</definedName>
    <definedName name="TableA_DPUC_market_adj" localSheetId="13">#REF!</definedName>
    <definedName name="TableA_DPUC_market_adj" localSheetId="17">#REF!</definedName>
    <definedName name="TableA_DPUC_market_adj" localSheetId="18">#REF!</definedName>
    <definedName name="TableA_DPUC_market_adj" localSheetId="14">#REF!</definedName>
    <definedName name="TableA_DPUC_market_adj" localSheetId="19">#REF!</definedName>
    <definedName name="TableA_DPUC_market_adj" localSheetId="20">#REF!</definedName>
    <definedName name="TableA_DPUC_market_adj" localSheetId="15">#REF!</definedName>
    <definedName name="TableA_DPUC_market_adj" localSheetId="21">#REF!</definedName>
    <definedName name="TableA_DPUC_market_adj" localSheetId="22">#REF!</definedName>
    <definedName name="TableA_DPUC_market_adj" localSheetId="16">#REF!</definedName>
    <definedName name="TableA_DPUC_market_adj" localSheetId="23">#REF!</definedName>
    <definedName name="TableA_DPUC_market_adj" localSheetId="24">#REF!</definedName>
    <definedName name="TableA_DPUC_market_adj" localSheetId="12">'[1]CLM Programs'!#REF!</definedName>
    <definedName name="TableA_DPUC_market_adj">#REF!</definedName>
    <definedName name="tableA_Note2Alloc1mil" localSheetId="27">#REF!</definedName>
    <definedName name="tableA_Note2Alloc1mil" localSheetId="30">#REF!</definedName>
    <definedName name="tableA_Note2Alloc1mil" localSheetId="10">#REF!</definedName>
    <definedName name="tableA_Note2Alloc1mil" localSheetId="31">#REF!</definedName>
    <definedName name="tableA_Note2Alloc1mil" localSheetId="1">#REF!</definedName>
    <definedName name="tableA_Note2Alloc1mil" localSheetId="32">#REF!</definedName>
    <definedName name="tableA_Note2Alloc1mil" localSheetId="2">#REF!</definedName>
    <definedName name="tableA_Note2Alloc1mil" localSheetId="3">#REF!</definedName>
    <definedName name="tableA_Note2Alloc1mil" localSheetId="9">#REF!</definedName>
    <definedName name="tableA_Note2Alloc1mil" localSheetId="33">#REF!</definedName>
    <definedName name="tableA_Note2Alloc1mil" localSheetId="5">#REF!</definedName>
    <definedName name="tableA_Note2Alloc1mil" localSheetId="34">#REF!</definedName>
    <definedName name="tableA_Note2Alloc1mil" localSheetId="7">#REF!</definedName>
    <definedName name="tableA_Note2Alloc1mil" localSheetId="13">#REF!</definedName>
    <definedName name="tableA_Note2Alloc1mil" localSheetId="17">#REF!</definedName>
    <definedName name="tableA_Note2Alloc1mil" localSheetId="18">#REF!</definedName>
    <definedName name="tableA_Note2Alloc1mil" localSheetId="14">#REF!</definedName>
    <definedName name="tableA_Note2Alloc1mil" localSheetId="19">#REF!</definedName>
    <definedName name="tableA_Note2Alloc1mil" localSheetId="20">#REF!</definedName>
    <definedName name="tableA_Note2Alloc1mil" localSheetId="15">#REF!</definedName>
    <definedName name="tableA_Note2Alloc1mil" localSheetId="21">#REF!</definedName>
    <definedName name="tableA_Note2Alloc1mil" localSheetId="22">#REF!</definedName>
    <definedName name="tableA_Note2Alloc1mil" localSheetId="16">#REF!</definedName>
    <definedName name="tableA_Note2Alloc1mil" localSheetId="23">#REF!</definedName>
    <definedName name="tableA_Note2Alloc1mil" localSheetId="24">#REF!</definedName>
    <definedName name="tableA_Note2Alloc1mil" localSheetId="12">'[1]CLM Programs'!#REF!</definedName>
    <definedName name="tableA_Note2Alloc1mil">#REF!</definedName>
    <definedName name="tableA1CLP2005" localSheetId="26">'2014-24 ES CT G Table D1 AnnCCF'!#REF!</definedName>
    <definedName name="tableA1CLP2005" localSheetId="27">'2014-24 ES CT G Table D2LifeCCF'!#REF!</definedName>
    <definedName name="tableA1CLP2005" localSheetId="30">'2014-24 ES CT G Table D5-Units'!#REF!</definedName>
    <definedName name="tableA1CLP2005" localSheetId="25">'2014-25 ES CT G Table D-Proj $'!#REF!</definedName>
    <definedName name="tableA1CLP2005" localSheetId="10">#REF!</definedName>
    <definedName name="tableA1CLP2005" localSheetId="31">#REF!</definedName>
    <definedName name="tableA1CLP2005" localSheetId="1">#REF!</definedName>
    <definedName name="tableA1CLP2005" localSheetId="0">#REF!</definedName>
    <definedName name="tableA1CLP2005" localSheetId="32">#REF!</definedName>
    <definedName name="tableA1CLP2005" localSheetId="2">#REF!</definedName>
    <definedName name="tableA1CLP2005" localSheetId="3">#REF!</definedName>
    <definedName name="tableA1CLP2005" localSheetId="9">#REF!</definedName>
    <definedName name="tableA1CLP2005" localSheetId="33">#REF!</definedName>
    <definedName name="tableA1CLP2005" localSheetId="5">#REF!</definedName>
    <definedName name="tableA1CLP2005" localSheetId="34">#REF!</definedName>
    <definedName name="tableA1CLP2005" localSheetId="7">#REF!</definedName>
    <definedName name="tableA1CLP2005" localSheetId="13">#REF!</definedName>
    <definedName name="tableA1CLP2005" localSheetId="17">#REF!</definedName>
    <definedName name="tableA1CLP2005" localSheetId="18">#REF!</definedName>
    <definedName name="tableA1CLP2005" localSheetId="14">#REF!</definedName>
    <definedName name="tableA1CLP2005" localSheetId="19">#REF!</definedName>
    <definedName name="tableA1CLP2005" localSheetId="20">#REF!</definedName>
    <definedName name="tableA1CLP2005" localSheetId="15">#REF!</definedName>
    <definedName name="tableA1CLP2005" localSheetId="21">#REF!</definedName>
    <definedName name="tableA1CLP2005" localSheetId="22">#REF!</definedName>
    <definedName name="tableA1CLP2005" localSheetId="16">#REF!</definedName>
    <definedName name="tableA1CLP2005" localSheetId="23">#REF!</definedName>
    <definedName name="tableA1CLP2005" localSheetId="24">#REF!</definedName>
    <definedName name="tableA1CLP2005" localSheetId="12">#REF!</definedName>
    <definedName name="tableA1CLP2005">#REF!</definedName>
    <definedName name="tableA1type_of_service" localSheetId="26">'2014-24 ES CT G Table D1 AnnCCF'!$A$12:$A$28</definedName>
    <definedName name="tableA1type_of_service" localSheetId="27">'2014-24 ES CT G Table D2LifeCCF'!#REF!</definedName>
    <definedName name="tableA1type_of_service" localSheetId="30">'2014-24 ES CT G Table D5-Units'!#REF!</definedName>
    <definedName name="tableA1type_of_service" localSheetId="25">'2014-25 ES CT G Table D-Proj $'!$A$12:$A$23</definedName>
    <definedName name="tableA1type_of_service" localSheetId="10">#REF!</definedName>
    <definedName name="tableA1type_of_service" localSheetId="31">#REF!</definedName>
    <definedName name="tableA1type_of_service" localSheetId="1">#REF!</definedName>
    <definedName name="tableA1type_of_service" localSheetId="0">#REF!</definedName>
    <definedName name="tableA1type_of_service" localSheetId="32">#REF!</definedName>
    <definedName name="tableA1type_of_service" localSheetId="2">#REF!</definedName>
    <definedName name="tableA1type_of_service" localSheetId="3">#REF!</definedName>
    <definedName name="tableA1type_of_service" localSheetId="9">#REF!</definedName>
    <definedName name="tableA1type_of_service" localSheetId="33">#REF!</definedName>
    <definedName name="tableA1type_of_service" localSheetId="5">#REF!</definedName>
    <definedName name="tableA1type_of_service" localSheetId="34">#REF!</definedName>
    <definedName name="tableA1type_of_service" localSheetId="7">#REF!</definedName>
    <definedName name="tableA1type_of_service" localSheetId="13">#REF!</definedName>
    <definedName name="tableA1type_of_service" localSheetId="17">#REF!</definedName>
    <definedName name="tableA1type_of_service" localSheetId="18">#REF!</definedName>
    <definedName name="tableA1type_of_service" localSheetId="14">#REF!</definedName>
    <definedName name="tableA1type_of_service" localSheetId="19">#REF!</definedName>
    <definedName name="tableA1type_of_service" localSheetId="20">#REF!</definedName>
    <definedName name="tableA1type_of_service" localSheetId="15">#REF!</definedName>
    <definedName name="tableA1type_of_service" localSheetId="21">#REF!</definedName>
    <definedName name="tableA1type_of_service" localSheetId="22">#REF!</definedName>
    <definedName name="tableA1type_of_service" localSheetId="16">#REF!</definedName>
    <definedName name="tableA1type_of_service" localSheetId="23">#REF!</definedName>
    <definedName name="tableA1type_of_service" localSheetId="24">#REF!</definedName>
    <definedName name="tableA1type_of_service" localSheetId="12">#REF!</definedName>
    <definedName name="tableA1type_of_service">#REF!</definedName>
    <definedName name="tableA1UI2005" localSheetId="26">'2014-24 ES CT G Table D1 AnnCCF'!#REF!</definedName>
    <definedName name="tableA1UI2005" localSheetId="27">'2014-24 ES CT G Table D2LifeCCF'!#REF!</definedName>
    <definedName name="tableA1UI2005" localSheetId="30">'2014-24 ES CT G Table D5-Units'!#REF!</definedName>
    <definedName name="tableA1UI2005" localSheetId="25">'2014-25 ES CT G Table D-Proj $'!#REF!</definedName>
    <definedName name="tableA1UI2005" localSheetId="10">#REF!</definedName>
    <definedName name="tableA1UI2005" localSheetId="31">#REF!</definedName>
    <definedName name="tableA1UI2005" localSheetId="1">#REF!</definedName>
    <definedName name="tableA1UI2005" localSheetId="0">#REF!</definedName>
    <definedName name="tableA1UI2005" localSheetId="32">#REF!</definedName>
    <definedName name="tableA1UI2005" localSheetId="2">#REF!</definedName>
    <definedName name="tableA1UI2005" localSheetId="3">#REF!</definedName>
    <definedName name="tableA1UI2005" localSheetId="9">#REF!</definedName>
    <definedName name="tableA1UI2005" localSheetId="33">#REF!</definedName>
    <definedName name="tableA1UI2005" localSheetId="5">#REF!</definedName>
    <definedName name="tableA1UI2005" localSheetId="34">#REF!</definedName>
    <definedName name="tableA1UI2005" localSheetId="7">#REF!</definedName>
    <definedName name="tableA1UI2005" localSheetId="13">#REF!</definedName>
    <definedName name="tableA1UI2005" localSheetId="17">#REF!</definedName>
    <definedName name="tableA1UI2005" localSheetId="18">#REF!</definedName>
    <definedName name="tableA1UI2005" localSheetId="14">#REF!</definedName>
    <definedName name="tableA1UI2005" localSheetId="19">#REF!</definedName>
    <definedName name="tableA1UI2005" localSheetId="20">#REF!</definedName>
    <definedName name="tableA1UI2005" localSheetId="15">#REF!</definedName>
    <definedName name="tableA1UI2005" localSheetId="21">#REF!</definedName>
    <definedName name="tableA1UI2005" localSheetId="22">#REF!</definedName>
    <definedName name="tableA1UI2005" localSheetId="16">#REF!</definedName>
    <definedName name="tableA1UI2005" localSheetId="23">#REF!</definedName>
    <definedName name="tableA1UI2005" localSheetId="24">#REF!</definedName>
    <definedName name="tableA1UI2005" localSheetId="12">#REF!</definedName>
    <definedName name="tableA1UI2005">#REF!</definedName>
    <definedName name="tableACLP2003" localSheetId="27">#REF!</definedName>
    <definedName name="tableACLP2003" localSheetId="30">#REF!</definedName>
    <definedName name="tableACLP2003" localSheetId="10">#REF!</definedName>
    <definedName name="tableACLP2003" localSheetId="31">#REF!</definedName>
    <definedName name="tableACLP2003" localSheetId="1">#REF!</definedName>
    <definedName name="tableACLP2003" localSheetId="0">#REF!</definedName>
    <definedName name="tableACLP2003" localSheetId="32">#REF!</definedName>
    <definedName name="tableACLP2003" localSheetId="2">#REF!</definedName>
    <definedName name="tableACLP2003" localSheetId="3">#REF!</definedName>
    <definedName name="tableACLP2003" localSheetId="9">#REF!</definedName>
    <definedName name="tableACLP2003" localSheetId="33">#REF!</definedName>
    <definedName name="tableACLP2003" localSheetId="5">#REF!</definedName>
    <definedName name="tableACLP2003" localSheetId="34">#REF!</definedName>
    <definedName name="tableACLP2003" localSheetId="7">#REF!</definedName>
    <definedName name="tableACLP2003" localSheetId="13">#REF!</definedName>
    <definedName name="tableACLP2003" localSheetId="17">#REF!</definedName>
    <definedName name="tableACLP2003" localSheetId="18">#REF!</definedName>
    <definedName name="tableACLP2003" localSheetId="14">#REF!</definedName>
    <definedName name="tableACLP2003" localSheetId="19">#REF!</definedName>
    <definedName name="tableACLP2003" localSheetId="20">#REF!</definedName>
    <definedName name="tableACLP2003" localSheetId="15">#REF!</definedName>
    <definedName name="tableACLP2003" localSheetId="21">#REF!</definedName>
    <definedName name="tableACLP2003" localSheetId="22">#REF!</definedName>
    <definedName name="tableACLP2003" localSheetId="16">#REF!</definedName>
    <definedName name="tableACLP2003" localSheetId="23">#REF!</definedName>
    <definedName name="tableACLP2003" localSheetId="24">#REF!</definedName>
    <definedName name="tableACLP2003" localSheetId="12">#REF!</definedName>
    <definedName name="tableACLP2003">#REF!</definedName>
    <definedName name="tableACLP2005" localSheetId="27">#REF!</definedName>
    <definedName name="tableACLP2005" localSheetId="30">#REF!</definedName>
    <definedName name="tableACLP2005" localSheetId="10">#REF!</definedName>
    <definedName name="tableACLP2005" localSheetId="31">#REF!</definedName>
    <definedName name="tableACLP2005" localSheetId="1">#REF!</definedName>
    <definedName name="tableACLP2005" localSheetId="0">#REF!</definedName>
    <definedName name="tableACLP2005" localSheetId="32">#REF!</definedName>
    <definedName name="tableACLP2005" localSheetId="2">#REF!</definedName>
    <definedName name="tableACLP2005" localSheetId="3">#REF!</definedName>
    <definedName name="tableACLP2005" localSheetId="9">#REF!</definedName>
    <definedName name="tableACLP2005" localSheetId="33">#REF!</definedName>
    <definedName name="tableACLP2005" localSheetId="5">#REF!</definedName>
    <definedName name="tableACLP2005" localSheetId="34">#REF!</definedName>
    <definedName name="tableACLP2005" localSheetId="7">#REF!</definedName>
    <definedName name="tableACLP2005" localSheetId="13">#REF!</definedName>
    <definedName name="tableACLP2005" localSheetId="17">#REF!</definedName>
    <definedName name="tableACLP2005" localSheetId="18">#REF!</definedName>
    <definedName name="tableACLP2005" localSheetId="14">#REF!</definedName>
    <definedName name="tableACLP2005" localSheetId="19">#REF!</definedName>
    <definedName name="tableACLP2005" localSheetId="20">#REF!</definedName>
    <definedName name="tableACLP2005" localSheetId="15">#REF!</definedName>
    <definedName name="tableACLP2005" localSheetId="21">#REF!</definedName>
    <definedName name="tableACLP2005" localSheetId="22">#REF!</definedName>
    <definedName name="tableACLP2005" localSheetId="16">#REF!</definedName>
    <definedName name="tableACLP2005" localSheetId="23">#REF!</definedName>
    <definedName name="tableACLP2005" localSheetId="24">#REF!</definedName>
    <definedName name="tableACLP2005" localSheetId="12">#REF!</definedName>
    <definedName name="tableACLP2005">#REF!</definedName>
    <definedName name="tableACLPor2004" localSheetId="27">#REF!</definedName>
    <definedName name="tableACLPor2004" localSheetId="30">#REF!</definedName>
    <definedName name="tableACLPor2004" localSheetId="10">#REF!</definedName>
    <definedName name="tableACLPor2004" localSheetId="31">#REF!</definedName>
    <definedName name="tableACLPor2004" localSheetId="1">#REF!</definedName>
    <definedName name="tableACLPor2004" localSheetId="32">#REF!</definedName>
    <definedName name="tableACLPor2004" localSheetId="2">#REF!</definedName>
    <definedName name="tableACLPor2004" localSheetId="3">#REF!</definedName>
    <definedName name="tableACLPor2004" localSheetId="9">#REF!</definedName>
    <definedName name="tableACLPor2004" localSheetId="33">#REF!</definedName>
    <definedName name="tableACLPor2004" localSheetId="5">#REF!</definedName>
    <definedName name="tableACLPor2004" localSheetId="34">#REF!</definedName>
    <definedName name="tableACLPor2004" localSheetId="7">#REF!</definedName>
    <definedName name="tableACLPor2004" localSheetId="13">#REF!</definedName>
    <definedName name="tableACLPor2004" localSheetId="17">#REF!</definedName>
    <definedName name="tableACLPor2004" localSheetId="18">#REF!</definedName>
    <definedName name="tableACLPor2004" localSheetId="14">#REF!</definedName>
    <definedName name="tableACLPor2004" localSheetId="19">#REF!</definedName>
    <definedName name="tableACLPor2004" localSheetId="20">#REF!</definedName>
    <definedName name="tableACLPor2004" localSheetId="15">#REF!</definedName>
    <definedName name="tableACLPor2004" localSheetId="21">#REF!</definedName>
    <definedName name="tableACLPor2004" localSheetId="22">#REF!</definedName>
    <definedName name="tableACLPor2004" localSheetId="16">#REF!</definedName>
    <definedName name="tableACLPor2004" localSheetId="23">#REF!</definedName>
    <definedName name="tableACLPor2004" localSheetId="24">#REF!</definedName>
    <definedName name="tableACLPor2004" localSheetId="12">#REF!</definedName>
    <definedName name="tableACLPor2004">#REF!</definedName>
    <definedName name="tableACLPrev2004" localSheetId="27">#REF!</definedName>
    <definedName name="tableACLPrev2004" localSheetId="30">#REF!</definedName>
    <definedName name="tableACLPrev2004" localSheetId="10">#REF!</definedName>
    <definedName name="tableACLPrev2004" localSheetId="31">#REF!</definedName>
    <definedName name="tableACLPrev2004" localSheetId="1">#REF!</definedName>
    <definedName name="tableACLPrev2004" localSheetId="32">#REF!</definedName>
    <definedName name="tableACLPrev2004" localSheetId="2">#REF!</definedName>
    <definedName name="tableACLPrev2004" localSheetId="3">#REF!</definedName>
    <definedName name="tableACLPrev2004" localSheetId="9">#REF!</definedName>
    <definedName name="tableACLPrev2004" localSheetId="33">#REF!</definedName>
    <definedName name="tableACLPrev2004" localSheetId="5">#REF!</definedName>
    <definedName name="tableACLPrev2004" localSheetId="34">#REF!</definedName>
    <definedName name="tableACLPrev2004" localSheetId="7">#REF!</definedName>
    <definedName name="tableACLPrev2004" localSheetId="13">#REF!</definedName>
    <definedName name="tableACLPrev2004" localSheetId="17">#REF!</definedName>
    <definedName name="tableACLPrev2004" localSheetId="18">#REF!</definedName>
    <definedName name="tableACLPrev2004" localSheetId="14">#REF!</definedName>
    <definedName name="tableACLPrev2004" localSheetId="19">#REF!</definedName>
    <definedName name="tableACLPrev2004" localSheetId="20">#REF!</definedName>
    <definedName name="tableACLPrev2004" localSheetId="15">#REF!</definedName>
    <definedName name="tableACLPrev2004" localSheetId="21">#REF!</definedName>
    <definedName name="tableACLPrev2004" localSheetId="22">#REF!</definedName>
    <definedName name="tableACLPrev2004" localSheetId="16">#REF!</definedName>
    <definedName name="tableACLPrev2004" localSheetId="23">#REF!</definedName>
    <definedName name="tableACLPrev2004" localSheetId="24">#REF!</definedName>
    <definedName name="tableACLPrev2004" localSheetId="12">#REF!</definedName>
    <definedName name="tableACLPrev2004">#REF!</definedName>
    <definedName name="tableAtype_of_service" localSheetId="27">#REF!</definedName>
    <definedName name="tableAtype_of_service" localSheetId="30">#REF!</definedName>
    <definedName name="tableAtype_of_service" localSheetId="10">#REF!</definedName>
    <definedName name="tableAtype_of_service" localSheetId="31">#REF!</definedName>
    <definedName name="tableAtype_of_service" localSheetId="1">#REF!</definedName>
    <definedName name="tableAtype_of_service" localSheetId="32">#REF!</definedName>
    <definedName name="tableAtype_of_service" localSheetId="2">#REF!</definedName>
    <definedName name="tableAtype_of_service" localSheetId="3">#REF!</definedName>
    <definedName name="tableAtype_of_service" localSheetId="9">#REF!</definedName>
    <definedName name="tableAtype_of_service" localSheetId="33">#REF!</definedName>
    <definedName name="tableAtype_of_service" localSheetId="5">#REF!</definedName>
    <definedName name="tableAtype_of_service" localSheetId="34">#REF!</definedName>
    <definedName name="tableAtype_of_service" localSheetId="7">#REF!</definedName>
    <definedName name="tableAtype_of_service" localSheetId="13">#REF!</definedName>
    <definedName name="tableAtype_of_service" localSheetId="17">#REF!</definedName>
    <definedName name="tableAtype_of_service" localSheetId="18">#REF!</definedName>
    <definedName name="tableAtype_of_service" localSheetId="14">#REF!</definedName>
    <definedName name="tableAtype_of_service" localSheetId="19">#REF!</definedName>
    <definedName name="tableAtype_of_service" localSheetId="20">#REF!</definedName>
    <definedName name="tableAtype_of_service" localSheetId="15">#REF!</definedName>
    <definedName name="tableAtype_of_service" localSheetId="21">#REF!</definedName>
    <definedName name="tableAtype_of_service" localSheetId="22">#REF!</definedName>
    <definedName name="tableAtype_of_service" localSheetId="16">#REF!</definedName>
    <definedName name="tableAtype_of_service" localSheetId="23">#REF!</definedName>
    <definedName name="tableAtype_of_service" localSheetId="24">#REF!</definedName>
    <definedName name="tableAtype_of_service" localSheetId="12">#REF!</definedName>
    <definedName name="tableAtype_of_service">#REF!</definedName>
    <definedName name="tableb_annual_saving" localSheetId="27">#REF!</definedName>
    <definedName name="tableb_annual_saving" localSheetId="30">#REF!</definedName>
    <definedName name="tableb_annual_saving" localSheetId="10">#REF!</definedName>
    <definedName name="tableb_annual_saving" localSheetId="31">#REF!</definedName>
    <definedName name="tableb_annual_saving" localSheetId="1">#REF!</definedName>
    <definedName name="tableb_annual_saving" localSheetId="32">#REF!</definedName>
    <definedName name="tableb_annual_saving" localSheetId="2">#REF!</definedName>
    <definedName name="tableb_annual_saving" localSheetId="3">#REF!</definedName>
    <definedName name="tableb_annual_saving" localSheetId="9">#REF!</definedName>
    <definedName name="tableb_annual_saving" localSheetId="33">#REF!</definedName>
    <definedName name="tableb_annual_saving" localSheetId="5">#REF!</definedName>
    <definedName name="tableb_annual_saving" localSheetId="34">#REF!</definedName>
    <definedName name="tableb_annual_saving" localSheetId="7">#REF!</definedName>
    <definedName name="tableb_annual_saving" localSheetId="13">#REF!</definedName>
    <definedName name="tableb_annual_saving" localSheetId="17">#REF!</definedName>
    <definedName name="tableb_annual_saving" localSheetId="18">#REF!</definedName>
    <definedName name="tableb_annual_saving" localSheetId="14">#REF!</definedName>
    <definedName name="tableb_annual_saving" localSheetId="19">#REF!</definedName>
    <definedName name="tableb_annual_saving" localSheetId="20">#REF!</definedName>
    <definedName name="tableb_annual_saving" localSheetId="15">#REF!</definedName>
    <definedName name="tableb_annual_saving" localSheetId="21">#REF!</definedName>
    <definedName name="tableb_annual_saving" localSheetId="22">#REF!</definedName>
    <definedName name="tableb_annual_saving" localSheetId="16">#REF!</definedName>
    <definedName name="tableb_annual_saving" localSheetId="23">#REF!</definedName>
    <definedName name="tableb_annual_saving" localSheetId="24">#REF!</definedName>
    <definedName name="tableb_annual_saving" localSheetId="12">#REF!</definedName>
    <definedName name="tableb_annual_saving">#REF!</definedName>
    <definedName name="tableb_life_saving" localSheetId="27">#REF!</definedName>
    <definedName name="tableb_life_saving" localSheetId="30">#REF!</definedName>
    <definedName name="tableb_life_saving" localSheetId="10">#REF!</definedName>
    <definedName name="tableb_life_saving" localSheetId="31">#REF!</definedName>
    <definedName name="tableb_life_saving" localSheetId="1">#REF!</definedName>
    <definedName name="tableb_life_saving" localSheetId="32">#REF!</definedName>
    <definedName name="tableb_life_saving" localSheetId="2">#REF!</definedName>
    <definedName name="tableb_life_saving" localSheetId="3">#REF!</definedName>
    <definedName name="tableb_life_saving" localSheetId="9">#REF!</definedName>
    <definedName name="tableb_life_saving" localSheetId="33">#REF!</definedName>
    <definedName name="tableb_life_saving" localSheetId="5">#REF!</definedName>
    <definedName name="tableb_life_saving" localSheetId="34">#REF!</definedName>
    <definedName name="tableb_life_saving" localSheetId="7">#REF!</definedName>
    <definedName name="tableb_life_saving" localSheetId="13">#REF!</definedName>
    <definedName name="tableb_life_saving" localSheetId="17">#REF!</definedName>
    <definedName name="tableb_life_saving" localSheetId="18">#REF!</definedName>
    <definedName name="tableb_life_saving" localSheetId="14">#REF!</definedName>
    <definedName name="tableb_life_saving" localSheetId="19">#REF!</definedName>
    <definedName name="tableb_life_saving" localSheetId="20">#REF!</definedName>
    <definedName name="tableb_life_saving" localSheetId="15">#REF!</definedName>
    <definedName name="tableb_life_saving" localSheetId="21">#REF!</definedName>
    <definedName name="tableb_life_saving" localSheetId="22">#REF!</definedName>
    <definedName name="tableb_life_saving" localSheetId="16">#REF!</definedName>
    <definedName name="tableb_life_saving" localSheetId="23">#REF!</definedName>
    <definedName name="tableb_life_saving" localSheetId="24">#REF!</definedName>
    <definedName name="tableb_life_saving" localSheetId="12">#REF!</definedName>
    <definedName name="tableb_life_saving">#REF!</definedName>
    <definedName name="tableb_utility_costs" localSheetId="26">#REF!</definedName>
    <definedName name="tableb_utility_costs" localSheetId="27">#REF!</definedName>
    <definedName name="tableb_utility_costs" localSheetId="30">#REF!</definedName>
    <definedName name="tableb_utility_costs" localSheetId="25">#REF!</definedName>
    <definedName name="tableb_utility_costs" localSheetId="10">#REF!</definedName>
    <definedName name="tableb_utility_costs" localSheetId="31">#REF!</definedName>
    <definedName name="tableb_utility_costs" localSheetId="1">#REF!</definedName>
    <definedName name="tableb_utility_costs" localSheetId="0">#REF!</definedName>
    <definedName name="tableb_utility_costs" localSheetId="32">#REF!</definedName>
    <definedName name="tableb_utility_costs" localSheetId="2">#REF!</definedName>
    <definedName name="tableb_utility_costs" localSheetId="3">#REF!</definedName>
    <definedName name="tableb_utility_costs" localSheetId="9">#REF!</definedName>
    <definedName name="tableb_utility_costs" localSheetId="33">#REF!</definedName>
    <definedName name="tableb_utility_costs" localSheetId="5">#REF!</definedName>
    <definedName name="tableb_utility_costs" localSheetId="34">#REF!</definedName>
    <definedName name="tableb_utility_costs" localSheetId="7">#REF!</definedName>
    <definedName name="tableb_utility_costs" localSheetId="13">#REF!</definedName>
    <definedName name="tableb_utility_costs" localSheetId="17">#REF!</definedName>
    <definedName name="tableb_utility_costs" localSheetId="18">#REF!</definedName>
    <definedName name="tableb_utility_costs" localSheetId="14">#REF!</definedName>
    <definedName name="tableb_utility_costs" localSheetId="19">#REF!</definedName>
    <definedName name="tableb_utility_costs" localSheetId="20">#REF!</definedName>
    <definedName name="tableb_utility_costs" localSheetId="15">#REF!</definedName>
    <definedName name="tableb_utility_costs" localSheetId="21">#REF!</definedName>
    <definedName name="tableb_utility_costs" localSheetId="22">#REF!</definedName>
    <definedName name="tableb_utility_costs" localSheetId="16">#REF!</definedName>
    <definedName name="tableb_utility_costs" localSheetId="23">#REF!</definedName>
    <definedName name="tableb_utility_costs" localSheetId="24">#REF!</definedName>
    <definedName name="tableb_utility_costs" localSheetId="12">'[8]CLP Table B - 2009 Comparison'!#REF!</definedName>
    <definedName name="tableb_utility_costs">#REF!</definedName>
    <definedName name="tableBkw_inpact" localSheetId="27">#REF!</definedName>
    <definedName name="tableBkw_inpact" localSheetId="30">#REF!</definedName>
    <definedName name="tableBkw_inpact" localSheetId="10">#REF!</definedName>
    <definedName name="tableBkw_inpact" localSheetId="31">#REF!</definedName>
    <definedName name="tableBkw_inpact" localSheetId="1">#REF!</definedName>
    <definedName name="tableBkw_inpact" localSheetId="32">#REF!</definedName>
    <definedName name="tableBkw_inpact" localSheetId="2">#REF!</definedName>
    <definedName name="tableBkw_inpact" localSheetId="3">#REF!</definedName>
    <definedName name="tableBkw_inpact" localSheetId="9">#REF!</definedName>
    <definedName name="tableBkw_inpact" localSheetId="33">#REF!</definedName>
    <definedName name="tableBkw_inpact" localSheetId="5">#REF!</definedName>
    <definedName name="tableBkw_inpact" localSheetId="34">#REF!</definedName>
    <definedName name="tableBkw_inpact" localSheetId="7">#REF!</definedName>
    <definedName name="tableBkw_inpact" localSheetId="13">#REF!</definedName>
    <definedName name="tableBkw_inpact" localSheetId="17">#REF!</definedName>
    <definedName name="tableBkw_inpact" localSheetId="18">#REF!</definedName>
    <definedName name="tableBkw_inpact" localSheetId="14">#REF!</definedName>
    <definedName name="tableBkw_inpact" localSheetId="19">#REF!</definedName>
    <definedName name="tableBkw_inpact" localSheetId="20">#REF!</definedName>
    <definedName name="tableBkw_inpact" localSheetId="15">#REF!</definedName>
    <definedName name="tableBkw_inpact" localSheetId="21">#REF!</definedName>
    <definedName name="tableBkw_inpact" localSheetId="22">#REF!</definedName>
    <definedName name="tableBkw_inpact" localSheetId="16">#REF!</definedName>
    <definedName name="tableBkw_inpact" localSheetId="23">#REF!</definedName>
    <definedName name="tableBkw_inpact" localSheetId="24">#REF!</definedName>
    <definedName name="tableBkw_inpact" localSheetId="12">#REF!</definedName>
    <definedName name="tableBkw_inpact">#REF!</definedName>
    <definedName name="tableBtype_of_service" localSheetId="27">#REF!</definedName>
    <definedName name="tableBtype_of_service" localSheetId="30">#REF!</definedName>
    <definedName name="tableBtype_of_service" localSheetId="10">#REF!</definedName>
    <definedName name="tableBtype_of_service" localSheetId="31">#REF!</definedName>
    <definedName name="tableBtype_of_service" localSheetId="1">#REF!</definedName>
    <definedName name="tableBtype_of_service" localSheetId="32">#REF!</definedName>
    <definedName name="tableBtype_of_service" localSheetId="2">#REF!</definedName>
    <definedName name="tableBtype_of_service" localSheetId="3">#REF!</definedName>
    <definedName name="tableBtype_of_service" localSheetId="9">#REF!</definedName>
    <definedName name="tableBtype_of_service" localSheetId="33">#REF!</definedName>
    <definedName name="tableBtype_of_service" localSheetId="5">#REF!</definedName>
    <definedName name="tableBtype_of_service" localSheetId="34">#REF!</definedName>
    <definedName name="tableBtype_of_service" localSheetId="7">#REF!</definedName>
    <definedName name="tableBtype_of_service" localSheetId="13">#REF!</definedName>
    <definedName name="tableBtype_of_service" localSheetId="17">#REF!</definedName>
    <definedName name="tableBtype_of_service" localSheetId="18">#REF!</definedName>
    <definedName name="tableBtype_of_service" localSheetId="14">#REF!</definedName>
    <definedName name="tableBtype_of_service" localSheetId="19">#REF!</definedName>
    <definedName name="tableBtype_of_service" localSheetId="20">#REF!</definedName>
    <definedName name="tableBtype_of_service" localSheetId="15">#REF!</definedName>
    <definedName name="tableBtype_of_service" localSheetId="21">#REF!</definedName>
    <definedName name="tableBtype_of_service" localSheetId="22">#REF!</definedName>
    <definedName name="tableBtype_of_service" localSheetId="16">#REF!</definedName>
    <definedName name="tableBtype_of_service" localSheetId="23">#REF!</definedName>
    <definedName name="tableBtype_of_service" localSheetId="24">#REF!</definedName>
    <definedName name="tableBtype_of_service" localSheetId="12">#REF!</definedName>
    <definedName name="tableBtype_of_service">#REF!</definedName>
    <definedName name="tableCadmin_expences" localSheetId="27">#REF!</definedName>
    <definedName name="tableCadmin_expences" localSheetId="30">#REF!</definedName>
    <definedName name="tableCadmin_expences" localSheetId="10">#REF!</definedName>
    <definedName name="tableCadmin_expences" localSheetId="31">#REF!</definedName>
    <definedName name="tableCadmin_expences" localSheetId="1">#REF!</definedName>
    <definedName name="tableCadmin_expences" localSheetId="0">#REF!</definedName>
    <definedName name="tableCadmin_expences" localSheetId="32">#REF!</definedName>
    <definedName name="tableCadmin_expences" localSheetId="2">#REF!</definedName>
    <definedName name="tableCadmin_expences" localSheetId="3">#REF!</definedName>
    <definedName name="tableCadmin_expences" localSheetId="9">#REF!</definedName>
    <definedName name="tableCadmin_expences" localSheetId="33">#REF!</definedName>
    <definedName name="tableCadmin_expences" localSheetId="5">#REF!</definedName>
    <definedName name="tableCadmin_expences" localSheetId="34">#REF!</definedName>
    <definedName name="tableCadmin_expences" localSheetId="7">#REF!</definedName>
    <definedName name="tableCadmin_expences" localSheetId="13">#REF!</definedName>
    <definedName name="tableCadmin_expences" localSheetId="17">#REF!</definedName>
    <definedName name="tableCadmin_expences" localSheetId="18">#REF!</definedName>
    <definedName name="tableCadmin_expences" localSheetId="14">#REF!</definedName>
    <definedName name="tableCadmin_expences" localSheetId="19">#REF!</definedName>
    <definedName name="tableCadmin_expences" localSheetId="20">#REF!</definedName>
    <definedName name="tableCadmin_expences" localSheetId="15">#REF!</definedName>
    <definedName name="tableCadmin_expences" localSheetId="21">#REF!</definedName>
    <definedName name="tableCadmin_expences" localSheetId="22">#REF!</definedName>
    <definedName name="tableCadmin_expences" localSheetId="16">#REF!</definedName>
    <definedName name="tableCadmin_expences" localSheetId="23">#REF!</definedName>
    <definedName name="tableCadmin_expences" localSheetId="24">#REF!</definedName>
    <definedName name="tableCadmin_expences" localSheetId="12">#REF!</definedName>
    <definedName name="tableCadmin_expences">#REF!</definedName>
    <definedName name="tableCCLP_labor" localSheetId="27">#REF!</definedName>
    <definedName name="tableCCLP_labor" localSheetId="30">#REF!</definedName>
    <definedName name="tableCCLP_labor" localSheetId="10">#REF!</definedName>
    <definedName name="tableCCLP_labor" localSheetId="31">#REF!</definedName>
    <definedName name="tableCCLP_labor" localSheetId="1">#REF!</definedName>
    <definedName name="tableCCLP_labor" localSheetId="0">#REF!</definedName>
    <definedName name="tableCCLP_labor" localSheetId="32">#REF!</definedName>
    <definedName name="tableCCLP_labor" localSheetId="2">#REF!</definedName>
    <definedName name="tableCCLP_labor" localSheetId="3">#REF!</definedName>
    <definedName name="tableCCLP_labor" localSheetId="9">#REF!</definedName>
    <definedName name="tableCCLP_labor" localSheetId="33">#REF!</definedName>
    <definedName name="tableCCLP_labor" localSheetId="5">#REF!</definedName>
    <definedName name="tableCCLP_labor" localSheetId="34">#REF!</definedName>
    <definedName name="tableCCLP_labor" localSheetId="7">#REF!</definedName>
    <definedName name="tableCCLP_labor" localSheetId="13">#REF!</definedName>
    <definedName name="tableCCLP_labor" localSheetId="17">#REF!</definedName>
    <definedName name="tableCCLP_labor" localSheetId="18">#REF!</definedName>
    <definedName name="tableCCLP_labor" localSheetId="14">#REF!</definedName>
    <definedName name="tableCCLP_labor" localSheetId="19">#REF!</definedName>
    <definedName name="tableCCLP_labor" localSheetId="20">#REF!</definedName>
    <definedName name="tableCCLP_labor" localSheetId="15">#REF!</definedName>
    <definedName name="tableCCLP_labor" localSheetId="21">#REF!</definedName>
    <definedName name="tableCCLP_labor" localSheetId="22">#REF!</definedName>
    <definedName name="tableCCLP_labor" localSheetId="16">#REF!</definedName>
    <definedName name="tableCCLP_labor" localSheetId="23">#REF!</definedName>
    <definedName name="tableCCLP_labor" localSheetId="24">#REF!</definedName>
    <definedName name="tableCCLP_labor" localSheetId="12">#REF!</definedName>
    <definedName name="tableCCLP_labor">#REF!</definedName>
    <definedName name="tableCincentives" localSheetId="27">#REF!</definedName>
    <definedName name="tableCincentives" localSheetId="30">#REF!</definedName>
    <definedName name="tableCincentives" localSheetId="10">#REF!</definedName>
    <definedName name="tableCincentives" localSheetId="31">#REF!</definedName>
    <definedName name="tableCincentives" localSheetId="1">#REF!</definedName>
    <definedName name="tableCincentives" localSheetId="0">#REF!</definedName>
    <definedName name="tableCincentives" localSheetId="32">#REF!</definedName>
    <definedName name="tableCincentives" localSheetId="2">#REF!</definedName>
    <definedName name="tableCincentives" localSheetId="3">#REF!</definedName>
    <definedName name="tableCincentives" localSheetId="9">#REF!</definedName>
    <definedName name="tableCincentives" localSheetId="33">#REF!</definedName>
    <definedName name="tableCincentives" localSheetId="5">#REF!</definedName>
    <definedName name="tableCincentives" localSheetId="34">#REF!</definedName>
    <definedName name="tableCincentives" localSheetId="7">#REF!</definedName>
    <definedName name="tableCincentives" localSheetId="13">#REF!</definedName>
    <definedName name="tableCincentives" localSheetId="17">#REF!</definedName>
    <definedName name="tableCincentives" localSheetId="18">#REF!</definedName>
    <definedName name="tableCincentives" localSheetId="14">#REF!</definedName>
    <definedName name="tableCincentives" localSheetId="19">#REF!</definedName>
    <definedName name="tableCincentives" localSheetId="20">#REF!</definedName>
    <definedName name="tableCincentives" localSheetId="15">#REF!</definedName>
    <definedName name="tableCincentives" localSheetId="21">#REF!</definedName>
    <definedName name="tableCincentives" localSheetId="22">#REF!</definedName>
    <definedName name="tableCincentives" localSheetId="16">#REF!</definedName>
    <definedName name="tableCincentives" localSheetId="23">#REF!</definedName>
    <definedName name="tableCincentives" localSheetId="24">#REF!</definedName>
    <definedName name="tableCincentives" localSheetId="12">#REF!</definedName>
    <definedName name="tableCincentives">#REF!</definedName>
    <definedName name="tableCmarketing" localSheetId="27">#REF!</definedName>
    <definedName name="tableCmarketing" localSheetId="30">#REF!</definedName>
    <definedName name="tableCmarketing" localSheetId="10">#REF!</definedName>
    <definedName name="tableCmarketing" localSheetId="31">#REF!</definedName>
    <definedName name="tableCmarketing" localSheetId="1">#REF!</definedName>
    <definedName name="tableCmarketing" localSheetId="32">#REF!</definedName>
    <definedName name="tableCmarketing" localSheetId="2">#REF!</definedName>
    <definedName name="tableCmarketing" localSheetId="3">#REF!</definedName>
    <definedName name="tableCmarketing" localSheetId="9">#REF!</definedName>
    <definedName name="tableCmarketing" localSheetId="33">#REF!</definedName>
    <definedName name="tableCmarketing" localSheetId="5">#REF!</definedName>
    <definedName name="tableCmarketing" localSheetId="34">#REF!</definedName>
    <definedName name="tableCmarketing" localSheetId="7">#REF!</definedName>
    <definedName name="tableCmarketing" localSheetId="13">#REF!</definedName>
    <definedName name="tableCmarketing" localSheetId="17">#REF!</definedName>
    <definedName name="tableCmarketing" localSheetId="18">#REF!</definedName>
    <definedName name="tableCmarketing" localSheetId="14">#REF!</definedName>
    <definedName name="tableCmarketing" localSheetId="19">#REF!</definedName>
    <definedName name="tableCmarketing" localSheetId="20">#REF!</definedName>
    <definedName name="tableCmarketing" localSheetId="15">#REF!</definedName>
    <definedName name="tableCmarketing" localSheetId="21">#REF!</definedName>
    <definedName name="tableCmarketing" localSheetId="22">#REF!</definedName>
    <definedName name="tableCmarketing" localSheetId="16">#REF!</definedName>
    <definedName name="tableCmarketing" localSheetId="23">#REF!</definedName>
    <definedName name="tableCmarketing" localSheetId="24">#REF!</definedName>
    <definedName name="tableCmarketing" localSheetId="12">#REF!</definedName>
    <definedName name="tableCmarketing">#REF!</definedName>
    <definedName name="tableCmaterial_supplies" localSheetId="27">#REF!</definedName>
    <definedName name="tableCmaterial_supplies" localSheetId="30">#REF!</definedName>
    <definedName name="tableCmaterial_supplies" localSheetId="10">#REF!</definedName>
    <definedName name="tableCmaterial_supplies" localSheetId="31">#REF!</definedName>
    <definedName name="tableCmaterial_supplies" localSheetId="1">#REF!</definedName>
    <definedName name="tableCmaterial_supplies" localSheetId="32">#REF!</definedName>
    <definedName name="tableCmaterial_supplies" localSheetId="2">#REF!</definedName>
    <definedName name="tableCmaterial_supplies" localSheetId="3">#REF!</definedName>
    <definedName name="tableCmaterial_supplies" localSheetId="9">#REF!</definedName>
    <definedName name="tableCmaterial_supplies" localSheetId="33">#REF!</definedName>
    <definedName name="tableCmaterial_supplies" localSheetId="5">#REF!</definedName>
    <definedName name="tableCmaterial_supplies" localSheetId="34">#REF!</definedName>
    <definedName name="tableCmaterial_supplies" localSheetId="7">#REF!</definedName>
    <definedName name="tableCmaterial_supplies" localSheetId="13">#REF!</definedName>
    <definedName name="tableCmaterial_supplies" localSheetId="17">#REF!</definedName>
    <definedName name="tableCmaterial_supplies" localSheetId="18">#REF!</definedName>
    <definedName name="tableCmaterial_supplies" localSheetId="14">#REF!</definedName>
    <definedName name="tableCmaterial_supplies" localSheetId="19">#REF!</definedName>
    <definedName name="tableCmaterial_supplies" localSheetId="20">#REF!</definedName>
    <definedName name="tableCmaterial_supplies" localSheetId="15">#REF!</definedName>
    <definedName name="tableCmaterial_supplies" localSheetId="21">#REF!</definedName>
    <definedName name="tableCmaterial_supplies" localSheetId="22">#REF!</definedName>
    <definedName name="tableCmaterial_supplies" localSheetId="16">#REF!</definedName>
    <definedName name="tableCmaterial_supplies" localSheetId="23">#REF!</definedName>
    <definedName name="tableCmaterial_supplies" localSheetId="24">#REF!</definedName>
    <definedName name="tableCmaterial_supplies" localSheetId="12">#REF!</definedName>
    <definedName name="tableCmaterial_supplies">#REF!</definedName>
    <definedName name="tableCother" localSheetId="27">#REF!</definedName>
    <definedName name="tableCother" localSheetId="30">#REF!</definedName>
    <definedName name="tableCother" localSheetId="10">#REF!</definedName>
    <definedName name="tableCother" localSheetId="31">#REF!</definedName>
    <definedName name="tableCother" localSheetId="1">#REF!</definedName>
    <definedName name="tableCother" localSheetId="32">#REF!</definedName>
    <definedName name="tableCother" localSheetId="2">#REF!</definedName>
    <definedName name="tableCother" localSheetId="3">#REF!</definedName>
    <definedName name="tableCother" localSheetId="9">#REF!</definedName>
    <definedName name="tableCother" localSheetId="33">#REF!</definedName>
    <definedName name="tableCother" localSheetId="5">#REF!</definedName>
    <definedName name="tableCother" localSheetId="34">#REF!</definedName>
    <definedName name="tableCother" localSheetId="7">#REF!</definedName>
    <definedName name="tableCother" localSheetId="13">#REF!</definedName>
    <definedName name="tableCother" localSheetId="17">#REF!</definedName>
    <definedName name="tableCother" localSheetId="18">#REF!</definedName>
    <definedName name="tableCother" localSheetId="14">#REF!</definedName>
    <definedName name="tableCother" localSheetId="19">#REF!</definedName>
    <definedName name="tableCother" localSheetId="20">#REF!</definedName>
    <definedName name="tableCother" localSheetId="15">#REF!</definedName>
    <definedName name="tableCother" localSheetId="21">#REF!</definedName>
    <definedName name="tableCother" localSheetId="22">#REF!</definedName>
    <definedName name="tableCother" localSheetId="16">#REF!</definedName>
    <definedName name="tableCother" localSheetId="23">#REF!</definedName>
    <definedName name="tableCother" localSheetId="24">#REF!</definedName>
    <definedName name="tableCother" localSheetId="12">#REF!</definedName>
    <definedName name="tableCother">#REF!</definedName>
    <definedName name="tableCother_labor" localSheetId="27">#REF!</definedName>
    <definedName name="tableCother_labor" localSheetId="30">#REF!</definedName>
    <definedName name="tableCother_labor" localSheetId="10">#REF!</definedName>
    <definedName name="tableCother_labor" localSheetId="31">#REF!</definedName>
    <definedName name="tableCother_labor" localSheetId="1">#REF!</definedName>
    <definedName name="tableCother_labor" localSheetId="32">#REF!</definedName>
    <definedName name="tableCother_labor" localSheetId="2">#REF!</definedName>
    <definedName name="tableCother_labor" localSheetId="3">#REF!</definedName>
    <definedName name="tableCother_labor" localSheetId="9">#REF!</definedName>
    <definedName name="tableCother_labor" localSheetId="33">#REF!</definedName>
    <definedName name="tableCother_labor" localSheetId="5">#REF!</definedName>
    <definedName name="tableCother_labor" localSheetId="34">#REF!</definedName>
    <definedName name="tableCother_labor" localSheetId="7">#REF!</definedName>
    <definedName name="tableCother_labor" localSheetId="13">#REF!</definedName>
    <definedName name="tableCother_labor" localSheetId="17">#REF!</definedName>
    <definedName name="tableCother_labor" localSheetId="18">#REF!</definedName>
    <definedName name="tableCother_labor" localSheetId="14">#REF!</definedName>
    <definedName name="tableCother_labor" localSheetId="19">#REF!</definedName>
    <definedName name="tableCother_labor" localSheetId="20">#REF!</definedName>
    <definedName name="tableCother_labor" localSheetId="15">#REF!</definedName>
    <definedName name="tableCother_labor" localSheetId="21">#REF!</definedName>
    <definedName name="tableCother_labor" localSheetId="22">#REF!</definedName>
    <definedName name="tableCother_labor" localSheetId="16">#REF!</definedName>
    <definedName name="tableCother_labor" localSheetId="23">#REF!</definedName>
    <definedName name="tableCother_labor" localSheetId="24">#REF!</definedName>
    <definedName name="tableCother_labor" localSheetId="12">#REF!</definedName>
    <definedName name="tableCother_labor">#REF!</definedName>
    <definedName name="tableCoutside_services" localSheetId="27">#REF!</definedName>
    <definedName name="tableCoutside_services" localSheetId="30">#REF!</definedName>
    <definedName name="tableCoutside_services" localSheetId="10">#REF!</definedName>
    <definedName name="tableCoutside_services" localSheetId="31">#REF!</definedName>
    <definedName name="tableCoutside_services" localSheetId="1">#REF!</definedName>
    <definedName name="tableCoutside_services" localSheetId="32">#REF!</definedName>
    <definedName name="tableCoutside_services" localSheetId="2">#REF!</definedName>
    <definedName name="tableCoutside_services" localSheetId="3">#REF!</definedName>
    <definedName name="tableCoutside_services" localSheetId="9">#REF!</definedName>
    <definedName name="tableCoutside_services" localSheetId="33">#REF!</definedName>
    <definedName name="tableCoutside_services" localSheetId="5">#REF!</definedName>
    <definedName name="tableCoutside_services" localSheetId="34">#REF!</definedName>
    <definedName name="tableCoutside_services" localSheetId="7">#REF!</definedName>
    <definedName name="tableCoutside_services" localSheetId="13">#REF!</definedName>
    <definedName name="tableCoutside_services" localSheetId="17">#REF!</definedName>
    <definedName name="tableCoutside_services" localSheetId="18">#REF!</definedName>
    <definedName name="tableCoutside_services" localSheetId="14">#REF!</definedName>
    <definedName name="tableCoutside_services" localSheetId="19">#REF!</definedName>
    <definedName name="tableCoutside_services" localSheetId="20">#REF!</definedName>
    <definedName name="tableCoutside_services" localSheetId="15">#REF!</definedName>
    <definedName name="tableCoutside_services" localSheetId="21">#REF!</definedName>
    <definedName name="tableCoutside_services" localSheetId="22">#REF!</definedName>
    <definedName name="tableCoutside_services" localSheetId="16">#REF!</definedName>
    <definedName name="tableCoutside_services" localSheetId="23">#REF!</definedName>
    <definedName name="tableCoutside_services" localSheetId="24">#REF!</definedName>
    <definedName name="tableCoutside_services" localSheetId="12">#REF!</definedName>
    <definedName name="tableCoutside_services">#REF!</definedName>
    <definedName name="tableCtype_of_service" localSheetId="27">#REF!</definedName>
    <definedName name="tableCtype_of_service" localSheetId="30">#REF!</definedName>
    <definedName name="tableCtype_of_service" localSheetId="10">#REF!</definedName>
    <definedName name="tableCtype_of_service" localSheetId="31">#REF!</definedName>
    <definedName name="tableCtype_of_service" localSheetId="1">#REF!</definedName>
    <definedName name="tableCtype_of_service" localSheetId="32">#REF!</definedName>
    <definedName name="tableCtype_of_service" localSheetId="2">#REF!</definedName>
    <definedName name="tableCtype_of_service" localSheetId="3">#REF!</definedName>
    <definedName name="tableCtype_of_service" localSheetId="9">#REF!</definedName>
    <definedName name="tableCtype_of_service" localSheetId="33">#REF!</definedName>
    <definedName name="tableCtype_of_service" localSheetId="5">#REF!</definedName>
    <definedName name="tableCtype_of_service" localSheetId="34">#REF!</definedName>
    <definedName name="tableCtype_of_service" localSheetId="7">#REF!</definedName>
    <definedName name="tableCtype_of_service" localSheetId="13">#REF!</definedName>
    <definedName name="tableCtype_of_service" localSheetId="17">#REF!</definedName>
    <definedName name="tableCtype_of_service" localSheetId="18">#REF!</definedName>
    <definedName name="tableCtype_of_service" localSheetId="14">#REF!</definedName>
    <definedName name="tableCtype_of_service" localSheetId="19">#REF!</definedName>
    <definedName name="tableCtype_of_service" localSheetId="20">#REF!</definedName>
    <definedName name="tableCtype_of_service" localSheetId="15">#REF!</definedName>
    <definedName name="tableCtype_of_service" localSheetId="21">#REF!</definedName>
    <definedName name="tableCtype_of_service" localSheetId="22">#REF!</definedName>
    <definedName name="tableCtype_of_service" localSheetId="16">#REF!</definedName>
    <definedName name="tableCtype_of_service" localSheetId="23">#REF!</definedName>
    <definedName name="tableCtype_of_service" localSheetId="24">#REF!</definedName>
    <definedName name="tableCtype_of_service" localSheetId="12">#REF!</definedName>
    <definedName name="tableCtype_of_service">#REF!</definedName>
    <definedName name="TableENorstamdollar" localSheetId="27">#REF!</definedName>
    <definedName name="TableENorstamdollar" localSheetId="30">#REF!</definedName>
    <definedName name="TableENorstamdollar" localSheetId="10">#REF!</definedName>
    <definedName name="TableENorstamdollar" localSheetId="31">#REF!</definedName>
    <definedName name="TableENorstamdollar" localSheetId="1">#REF!</definedName>
    <definedName name="TableENorstamdollar" localSheetId="32">#REF!</definedName>
    <definedName name="TableENorstamdollar" localSheetId="2">#REF!</definedName>
    <definedName name="TableENorstamdollar" localSheetId="3">#REF!</definedName>
    <definedName name="TableENorstamdollar" localSheetId="9">#REF!</definedName>
    <definedName name="TableENorstamdollar" localSheetId="33">#REF!</definedName>
    <definedName name="TableENorstamdollar" localSheetId="5">#REF!</definedName>
    <definedName name="TableENorstamdollar" localSheetId="34">#REF!</definedName>
    <definedName name="TableENorstamdollar" localSheetId="7">#REF!</definedName>
    <definedName name="TableENorstamdollar" localSheetId="13">#REF!</definedName>
    <definedName name="TableENorstamdollar" localSheetId="17">#REF!</definedName>
    <definedName name="TableENorstamdollar" localSheetId="18">#REF!</definedName>
    <definedName name="TableENorstamdollar" localSheetId="14">#REF!</definedName>
    <definedName name="TableENorstamdollar" localSheetId="19">#REF!</definedName>
    <definedName name="TableENorstamdollar" localSheetId="20">#REF!</definedName>
    <definedName name="TableENorstamdollar" localSheetId="15">#REF!</definedName>
    <definedName name="TableENorstamdollar" localSheetId="21">#REF!</definedName>
    <definedName name="TableENorstamdollar" localSheetId="22">#REF!</definedName>
    <definedName name="TableENorstamdollar" localSheetId="16">#REF!</definedName>
    <definedName name="TableENorstamdollar" localSheetId="23">#REF!</definedName>
    <definedName name="TableENorstamdollar" localSheetId="24">#REF!</definedName>
    <definedName name="TableENorstamdollar" localSheetId="12">#REF!</definedName>
    <definedName name="TableENorstamdollar">#REF!</definedName>
    <definedName name="tableEnorstamkw" localSheetId="27">#REF!</definedName>
    <definedName name="tableEnorstamkw" localSheetId="30">#REF!</definedName>
    <definedName name="tableEnorstamkw" localSheetId="10">#REF!</definedName>
    <definedName name="tableEnorstamkw" localSheetId="31">#REF!</definedName>
    <definedName name="tableEnorstamkw" localSheetId="1">#REF!</definedName>
    <definedName name="tableEnorstamkw" localSheetId="32">#REF!</definedName>
    <definedName name="tableEnorstamkw" localSheetId="2">#REF!</definedName>
    <definedName name="tableEnorstamkw" localSheetId="3">#REF!</definedName>
    <definedName name="tableEnorstamkw" localSheetId="9">#REF!</definedName>
    <definedName name="tableEnorstamkw" localSheetId="33">#REF!</definedName>
    <definedName name="tableEnorstamkw" localSheetId="5">#REF!</definedName>
    <definedName name="tableEnorstamkw" localSheetId="34">#REF!</definedName>
    <definedName name="tableEnorstamkw" localSheetId="7">#REF!</definedName>
    <definedName name="tableEnorstamkw" localSheetId="13">#REF!</definedName>
    <definedName name="tableEnorstamkw" localSheetId="17">#REF!</definedName>
    <definedName name="tableEnorstamkw" localSheetId="18">#REF!</definedName>
    <definedName name="tableEnorstamkw" localSheetId="14">#REF!</definedName>
    <definedName name="tableEnorstamkw" localSheetId="19">#REF!</definedName>
    <definedName name="tableEnorstamkw" localSheetId="20">#REF!</definedName>
    <definedName name="tableEnorstamkw" localSheetId="15">#REF!</definedName>
    <definedName name="tableEnorstamkw" localSheetId="21">#REF!</definedName>
    <definedName name="tableEnorstamkw" localSheetId="22">#REF!</definedName>
    <definedName name="tableEnorstamkw" localSheetId="16">#REF!</definedName>
    <definedName name="tableEnorstamkw" localSheetId="23">#REF!</definedName>
    <definedName name="tableEnorstamkw" localSheetId="24">#REF!</definedName>
    <definedName name="tableEnorstamkw" localSheetId="12">#REF!</definedName>
    <definedName name="tableEnorstamkw">#REF!</definedName>
    <definedName name="tableESWCTDollar" localSheetId="27">#REF!</definedName>
    <definedName name="tableESWCTDollar" localSheetId="30">#REF!</definedName>
    <definedName name="tableESWCTDollar" localSheetId="10">#REF!</definedName>
    <definedName name="tableESWCTDollar" localSheetId="31">#REF!</definedName>
    <definedName name="tableESWCTDollar" localSheetId="1">#REF!</definedName>
    <definedName name="tableESWCTDollar" localSheetId="32">#REF!</definedName>
    <definedName name="tableESWCTDollar" localSheetId="2">#REF!</definedName>
    <definedName name="tableESWCTDollar" localSheetId="3">#REF!</definedName>
    <definedName name="tableESWCTDollar" localSheetId="9">#REF!</definedName>
    <definedName name="tableESWCTDollar" localSheetId="33">#REF!</definedName>
    <definedName name="tableESWCTDollar" localSheetId="5">#REF!</definedName>
    <definedName name="tableESWCTDollar" localSheetId="34">#REF!</definedName>
    <definedName name="tableESWCTDollar" localSheetId="7">#REF!</definedName>
    <definedName name="tableESWCTDollar" localSheetId="13">#REF!</definedName>
    <definedName name="tableESWCTDollar" localSheetId="17">#REF!</definedName>
    <definedName name="tableESWCTDollar" localSheetId="18">#REF!</definedName>
    <definedName name="tableESWCTDollar" localSheetId="14">#REF!</definedName>
    <definedName name="tableESWCTDollar" localSheetId="19">#REF!</definedName>
    <definedName name="tableESWCTDollar" localSheetId="20">#REF!</definedName>
    <definedName name="tableESWCTDollar" localSheetId="15">#REF!</definedName>
    <definedName name="tableESWCTDollar" localSheetId="21">#REF!</definedName>
    <definedName name="tableESWCTDollar" localSheetId="22">#REF!</definedName>
    <definedName name="tableESWCTDollar" localSheetId="16">#REF!</definedName>
    <definedName name="tableESWCTDollar" localSheetId="23">#REF!</definedName>
    <definedName name="tableESWCTDollar" localSheetId="24">#REF!</definedName>
    <definedName name="tableESWCTDollar" localSheetId="12">#REF!</definedName>
    <definedName name="tableESWCTDollar">#REF!</definedName>
    <definedName name="TableESWCTkw" localSheetId="27">#REF!</definedName>
    <definedName name="TableESWCTkw" localSheetId="30">#REF!</definedName>
    <definedName name="TableESWCTkw" localSheetId="10">#REF!</definedName>
    <definedName name="TableESWCTkw" localSheetId="31">#REF!</definedName>
    <definedName name="TableESWCTkw" localSheetId="1">#REF!</definedName>
    <definedName name="TableESWCTkw" localSheetId="32">#REF!</definedName>
    <definedName name="TableESWCTkw" localSheetId="2">#REF!</definedName>
    <definedName name="TableESWCTkw" localSheetId="3">#REF!</definedName>
    <definedName name="TableESWCTkw" localSheetId="9">#REF!</definedName>
    <definedName name="TableESWCTkw" localSheetId="33">#REF!</definedName>
    <definedName name="TableESWCTkw" localSheetId="5">#REF!</definedName>
    <definedName name="TableESWCTkw" localSheetId="34">#REF!</definedName>
    <definedName name="TableESWCTkw" localSheetId="7">#REF!</definedName>
    <definedName name="TableESWCTkw" localSheetId="13">#REF!</definedName>
    <definedName name="TableESWCTkw" localSheetId="17">#REF!</definedName>
    <definedName name="TableESWCTkw" localSheetId="18">#REF!</definedName>
    <definedName name="TableESWCTkw" localSheetId="14">#REF!</definedName>
    <definedName name="TableESWCTkw" localSheetId="19">#REF!</definedName>
    <definedName name="TableESWCTkw" localSheetId="20">#REF!</definedName>
    <definedName name="TableESWCTkw" localSheetId="15">#REF!</definedName>
    <definedName name="TableESWCTkw" localSheetId="21">#REF!</definedName>
    <definedName name="TableESWCTkw" localSheetId="22">#REF!</definedName>
    <definedName name="TableESWCTkw" localSheetId="16">#REF!</definedName>
    <definedName name="TableESWCTkw" localSheetId="23">#REF!</definedName>
    <definedName name="TableESWCTkw" localSheetId="24">#REF!</definedName>
    <definedName name="TableESWCTkw" localSheetId="12">#REF!</definedName>
    <definedName name="TableESWCTkw">#REF!</definedName>
    <definedName name="tableEtype_of_service" localSheetId="27">#REF!</definedName>
    <definedName name="tableEtype_of_service" localSheetId="30">#REF!</definedName>
    <definedName name="tableEtype_of_service" localSheetId="10">#REF!</definedName>
    <definedName name="tableEtype_of_service" localSheetId="31">#REF!</definedName>
    <definedName name="tableEtype_of_service" localSheetId="1">#REF!</definedName>
    <definedName name="tableEtype_of_service" localSheetId="32">#REF!</definedName>
    <definedName name="tableEtype_of_service" localSheetId="2">#REF!</definedName>
    <definedName name="tableEtype_of_service" localSheetId="3">#REF!</definedName>
    <definedName name="tableEtype_of_service" localSheetId="9">#REF!</definedName>
    <definedName name="tableEtype_of_service" localSheetId="33">#REF!</definedName>
    <definedName name="tableEtype_of_service" localSheetId="5">#REF!</definedName>
    <definedName name="tableEtype_of_service" localSheetId="34">#REF!</definedName>
    <definedName name="tableEtype_of_service" localSheetId="7">#REF!</definedName>
    <definedName name="tableEtype_of_service" localSheetId="13">#REF!</definedName>
    <definedName name="tableEtype_of_service" localSheetId="17">#REF!</definedName>
    <definedName name="tableEtype_of_service" localSheetId="18">#REF!</definedName>
    <definedName name="tableEtype_of_service" localSheetId="14">#REF!</definedName>
    <definedName name="tableEtype_of_service" localSheetId="19">#REF!</definedName>
    <definedName name="tableEtype_of_service" localSheetId="20">#REF!</definedName>
    <definedName name="tableEtype_of_service" localSheetId="15">#REF!</definedName>
    <definedName name="tableEtype_of_service" localSheetId="21">#REF!</definedName>
    <definedName name="tableEtype_of_service" localSheetId="22">#REF!</definedName>
    <definedName name="tableEtype_of_service" localSheetId="16">#REF!</definedName>
    <definedName name="tableEtype_of_service" localSheetId="23">#REF!</definedName>
    <definedName name="tableEtype_of_service" localSheetId="24">#REF!</definedName>
    <definedName name="tableEtype_of_service" localSheetId="12">#REF!</definedName>
    <definedName name="tableEtype_of_service">#REF!</definedName>
    <definedName name="tavleACLP2005" localSheetId="27">#REF!</definedName>
    <definedName name="tavleACLP2005" localSheetId="30">#REF!</definedName>
    <definedName name="tavleACLP2005" localSheetId="10">#REF!</definedName>
    <definedName name="tavleACLP2005" localSheetId="31">#REF!</definedName>
    <definedName name="tavleACLP2005" localSheetId="1">#REF!</definedName>
    <definedName name="tavleACLP2005" localSheetId="32">#REF!</definedName>
    <definedName name="tavleACLP2005" localSheetId="2">#REF!</definedName>
    <definedName name="tavleACLP2005" localSheetId="3">#REF!</definedName>
    <definedName name="tavleACLP2005" localSheetId="9">#REF!</definedName>
    <definedName name="tavleACLP2005" localSheetId="33">#REF!</definedName>
    <definedName name="tavleACLP2005" localSheetId="5">#REF!</definedName>
    <definedName name="tavleACLP2005" localSheetId="34">#REF!</definedName>
    <definedName name="tavleACLP2005" localSheetId="7">#REF!</definedName>
    <definedName name="tavleACLP2005" localSheetId="13">#REF!</definedName>
    <definedName name="tavleACLP2005" localSheetId="17">#REF!</definedName>
    <definedName name="tavleACLP2005" localSheetId="18">#REF!</definedName>
    <definedName name="tavleACLP2005" localSheetId="14">#REF!</definedName>
    <definedName name="tavleACLP2005" localSheetId="19">#REF!</definedName>
    <definedName name="tavleACLP2005" localSheetId="20">#REF!</definedName>
    <definedName name="tavleACLP2005" localSheetId="15">#REF!</definedName>
    <definedName name="tavleACLP2005" localSheetId="21">#REF!</definedName>
    <definedName name="tavleACLP2005" localSheetId="22">#REF!</definedName>
    <definedName name="tavleACLP2005" localSheetId="16">#REF!</definedName>
    <definedName name="tavleACLP2005" localSheetId="23">#REF!</definedName>
    <definedName name="tavleACLP2005" localSheetId="24">#REF!</definedName>
    <definedName name="tavleACLP2005" localSheetId="12">#REF!</definedName>
    <definedName name="tavleACLP2005">#REF!</definedName>
    <definedName name="TM1REBUILDOPTION">1</definedName>
    <definedName name="type_of_service" localSheetId="27">#REF!</definedName>
    <definedName name="type_of_service" localSheetId="30">#REF!</definedName>
    <definedName name="type_of_service" localSheetId="10">#REF!</definedName>
    <definedName name="type_of_service" localSheetId="31">#REF!</definedName>
    <definedName name="type_of_service" localSheetId="1">#REF!</definedName>
    <definedName name="type_of_service" localSheetId="32">#REF!</definedName>
    <definedName name="type_of_service" localSheetId="2">#REF!</definedName>
    <definedName name="type_of_service" localSheetId="3">#REF!</definedName>
    <definedName name="type_of_service" localSheetId="9">#REF!</definedName>
    <definedName name="type_of_service" localSheetId="33">#REF!</definedName>
    <definedName name="type_of_service" localSheetId="5">#REF!</definedName>
    <definedName name="type_of_service" localSheetId="34">#REF!</definedName>
    <definedName name="type_of_service" localSheetId="7">#REF!</definedName>
    <definedName name="type_of_service" localSheetId="13">#REF!</definedName>
    <definedName name="type_of_service" localSheetId="17">#REF!</definedName>
    <definedName name="type_of_service" localSheetId="18">#REF!</definedName>
    <definedName name="type_of_service" localSheetId="14">#REF!</definedName>
    <definedName name="type_of_service" localSheetId="19">#REF!</definedName>
    <definedName name="type_of_service" localSheetId="20">#REF!</definedName>
    <definedName name="type_of_service" localSheetId="15">#REF!</definedName>
    <definedName name="type_of_service" localSheetId="21">#REF!</definedName>
    <definedName name="type_of_service" localSheetId="22">#REF!</definedName>
    <definedName name="type_of_service" localSheetId="16">#REF!</definedName>
    <definedName name="type_of_service" localSheetId="23">#REF!</definedName>
    <definedName name="type_of_service" localSheetId="24">#REF!</definedName>
    <definedName name="type_of_service" localSheetId="12">#REF!</definedName>
    <definedName name="type_of_service">#REF!</definedName>
    <definedName name="wgl" localSheetId="12" hidden="1">{#N/A,#N/A,FALSE,"GLDwnLoad"}</definedName>
    <definedName name="wgl" hidden="1">{#N/A,#N/A,FALSE,"GLDwnLoad"}</definedName>
    <definedName name="win" localSheetId="12" hidden="1">{#N/A,#N/A,FALSE,"OTHERINPUTS";#N/A,#N/A,FALSE,"DITRATEINPUTS";#N/A,#N/A,FALSE,"SUPPLIEDADJINPUT";#N/A,#N/A,FALSE,"TIMINGDIFFINPUTS";#N/A,#N/A,FALSE,"BR&amp;SUPADJ."}</definedName>
    <definedName name="win" hidden="1">{#N/A,#N/A,FALSE,"OTHERINPUTS";#N/A,#N/A,FALSE,"DITRATEINPUTS";#N/A,#N/A,FALSE,"SUPPLIEDADJINPUT";#N/A,#N/A,FALSE,"TIMINGDIFFINPUTS";#N/A,#N/A,FALSE,"BR&amp;SUPADJ."}</definedName>
    <definedName name="wp" localSheetId="12" hidden="1">{#N/A,#N/A,FALSE,"TITLEPG";#N/A,#N/A,FALSE,"INDEX";#N/A,#N/A,FALSE,"BKTAXINCOME";#N/A,#N/A,FALSE,"INTERESTALLOC";#N/A,#N/A,FALSE,"FITCALC";#N/A,#N/A,FALSE,"CCBT";#N/A,#N/A,FALSE,"MFT";#N/A,#N/A,FALSE,"NHBPT";#N/A,#N/A,FALSE,"OPPERMEVENTS";#N/A,#N/A,FALSE,"NONOPPERMEVENTS";#N/A,#N/A,FALSE,"OPTIMEVENTS";#N/A,#N/A,FALSE,"NONOPTIMEVENTS";#N/A,#N/A,FALSE,"DEPREC";#N/A,#N/A,FALSE,"OPPERMDIFF";#N/A,#N/A,FALSE,"NONOPPERMDIFF";#N/A,#N/A,FALSE,"OPTIMDIFF";#N/A,#N/A,FALSE,"NONOPTIMDIFF";#N/A,#N/A,FALSE,"OP190CRQTR";#N/A,#N/A,FALSE,"NONOP190CRQTR";#N/A,#N/A,FALSE,"OP190CRYTD";#N/A,#N/A,FALSE,"NONOP190CRYTD";#N/A,#N/A,FALSE,"OP190PRYTD";#N/A,#N/A,FALSE,"NONOP190PRYTD";#N/A,#N/A,FALSE,"OP282CRQTR";#N/A,#N/A,FALSE,"NONOP282CRQTR";#N/A,#N/A,FALSE,"OP282CRYTD";#N/A,#N/A,FALSE,"NONOP282CRYTD";#N/A,#N/A,FALSE,"OP282PRYTD";#N/A,#N/A,FALSE,"NONOP282PRYTD";#N/A,#N/A,FALSE,"OP283CRQTR";#N/A,#N/A,FALSE,"NONOP283CRQTR";#N/A,#N/A,FALSE,"OP283CRYTD";#N/A,#N/A,FALSE,"NONOP283CRYTD";#N/A,#N/A,FALSE,"OP283PRYTD";#N/A,#N/A,FALSE,"NONOP283PRYTD";#N/A,#N/A,FALSE,"DITSUM";#N/A,#N/A,FALSE,"CRYTDACREC";#N/A,#N/A,FALSE,"PRYTDACREC";#N/A,#N/A,FALSE,"SYSJRNL";#N/A,#N/A,FALSE,"FAS109 OPERATING";#N/A,#N/A,FALSE,"FAS109 Summary";#N/A,#N/A,FALSE,"FAS109 OPER 190 ITC";#N/A,#N/A,FALSE,"FAS109 OPER 190 Other";#N/A,#N/A,FALSE,"FAS109 OPER 282";#N/A,#N/A,FALSE,"FAS109 OPER 283";#N/A,#N/A,FALSE,"FAS109 NONOPER 282"}</definedName>
    <definedName name="wp" hidden="1">{#N/A,#N/A,FALSE,"TITLEPG";#N/A,#N/A,FALSE,"INDEX";#N/A,#N/A,FALSE,"BKTAXINCOME";#N/A,#N/A,FALSE,"INTERESTALLOC";#N/A,#N/A,FALSE,"FITCALC";#N/A,#N/A,FALSE,"CCBT";#N/A,#N/A,FALSE,"MFT";#N/A,#N/A,FALSE,"NHBPT";#N/A,#N/A,FALSE,"OPPERMEVENTS";#N/A,#N/A,FALSE,"NONOPPERMEVENTS";#N/A,#N/A,FALSE,"OPTIMEVENTS";#N/A,#N/A,FALSE,"NONOPTIMEVENTS";#N/A,#N/A,FALSE,"DEPREC";#N/A,#N/A,FALSE,"OPPERMDIFF";#N/A,#N/A,FALSE,"NONOPPERMDIFF";#N/A,#N/A,FALSE,"OPTIMDIFF";#N/A,#N/A,FALSE,"NONOPTIMDIFF";#N/A,#N/A,FALSE,"OP190CRQTR";#N/A,#N/A,FALSE,"NONOP190CRQTR";#N/A,#N/A,FALSE,"OP190CRYTD";#N/A,#N/A,FALSE,"NONOP190CRYTD";#N/A,#N/A,FALSE,"OP190PRYTD";#N/A,#N/A,FALSE,"NONOP190PRYTD";#N/A,#N/A,FALSE,"OP282CRQTR";#N/A,#N/A,FALSE,"NONOP282CRQTR";#N/A,#N/A,FALSE,"OP282CRYTD";#N/A,#N/A,FALSE,"NONOP282CRYTD";#N/A,#N/A,FALSE,"OP282PRYTD";#N/A,#N/A,FALSE,"NONOP282PRYTD";#N/A,#N/A,FALSE,"OP283CRQTR";#N/A,#N/A,FALSE,"NONOP283CRQTR";#N/A,#N/A,FALSE,"OP283CRYTD";#N/A,#N/A,FALSE,"NONOP283CRYTD";#N/A,#N/A,FALSE,"OP283PRYTD";#N/A,#N/A,FALSE,"NONOP283PRYTD";#N/A,#N/A,FALSE,"DITSUM";#N/A,#N/A,FALSE,"CRYTDACREC";#N/A,#N/A,FALSE,"PRYTDACREC";#N/A,#N/A,FALSE,"SYSJRNL";#N/A,#N/A,FALSE,"FAS109 OPERATING";#N/A,#N/A,FALSE,"FAS109 Summary";#N/A,#N/A,FALSE,"FAS109 OPER 190 ITC";#N/A,#N/A,FALSE,"FAS109 OPER 190 Other";#N/A,#N/A,FALSE,"FAS109 OPER 282";#N/A,#N/A,FALSE,"FAS109 OPER 283";#N/A,#N/A,FALSE,"FAS109 NONOPER 282"}</definedName>
    <definedName name="wr" localSheetId="12" hidden="1">{#N/A,#N/A,FALSE,"RORMEMO";#N/A,#N/A,FALSE,"RORSUMMARY";#N/A,#N/A,FALSE,"RORDETAIL"}</definedName>
    <definedName name="wr" hidden="1">{#N/A,#N/A,FALSE,"RORMEMO";#N/A,#N/A,FALSE,"RORSUMMARY";#N/A,#N/A,FALSE,"RORDETAIL"}</definedName>
    <definedName name="wrn.CLP_GL." localSheetId="12" hidden="1">{#N/A,#N/A,FALSE,"GLDwnLoad"}</definedName>
    <definedName name="wrn.CLP_GL." hidden="1">{#N/A,#N/A,FALSE,"GLDwnLoad"}</definedName>
    <definedName name="wrn.CLP_INPUTS." localSheetId="12" hidden="1">{#N/A,#N/A,FALSE,"OTHERINPUTS";#N/A,#N/A,FALSE,"DITRATEINPUTS";#N/A,#N/A,FALSE,"SUPPLIEDADJINPUT";#N/A,#N/A,FALSE,"TIMINGDIFFINPUTS";#N/A,#N/A,FALSE,"BR&amp;SUPADJ."}</definedName>
    <definedName name="wrn.CLP_INPUTS." hidden="1">{#N/A,#N/A,FALSE,"OTHERINPUTS";#N/A,#N/A,FALSE,"DITRATEINPUTS";#N/A,#N/A,FALSE,"SUPPLIEDADJINPUT";#N/A,#N/A,FALSE,"TIMINGDIFFINPUTS";#N/A,#N/A,FALSE,"BR&amp;SUPADJ."}</definedName>
    <definedName name="wrn.CLP_PROV." localSheetId="12" hidden="1">{#N/A,#N/A,FALSE,"TITLEPG";#N/A,#N/A,FALSE,"INDEX";#N/A,#N/A,FALSE,"BKTAXINCOME";#N/A,#N/A,FALSE,"INTERESTALLOC";#N/A,#N/A,FALSE,"FITCALC";#N/A,#N/A,FALSE,"CCBT";#N/A,#N/A,FALSE,"CGE";#N/A,#N/A,FALSE,"MFT";#N/A,#N/A,FALSE,"NHBPT";#N/A,#N/A,FALSE,"OPPERMEVENTS";#N/A,#N/A,FALSE,"NONOPPERMEVENTS";#N/A,#N/A,FALSE,"OPTIMEVENTS";#N/A,#N/A,FALSE,"NONOPTIMEVENTS";#N/A,#N/A,FALSE,"DEPREC";#N/A,#N/A,FALSE,"OPPERMDIFF";#N/A,#N/A,FALSE,"NONOPPERMDIFF";#N/A,#N/A,FALSE,"OPTIMDIFF";#N/A,#N/A,FALSE,"NONOPTIMDIFF";#N/A,#N/A,FALSE,"OP190CRQTR";#N/A,#N/A,FALSE,"NONOP190CRQTR";#N/A,#N/A,FALSE,"OP190CRYTD";#N/A,#N/A,FALSE,"NONOP190CRYTD";#N/A,#N/A,FALSE,"OP190PRYTD";#N/A,#N/A,FALSE,"NONOP190PRYTD";#N/A,#N/A,FALSE,"OP282CRQTR";#N/A,#N/A,FALSE,"NONOP282CRQTR";#N/A,#N/A,FALSE,"OP282CRYTD";#N/A,#N/A,FALSE,"NONOP282CRYTD";#N/A,#N/A,FALSE,"OP282PRYTD";#N/A,#N/A,FALSE,"NONOP282PRYTD";#N/A,#N/A,FALSE,"OP283CRQTR";#N/A,#N/A,FALSE,"NONOP283CRQTR";#N/A,#N/A,FALSE,"OP283CRYTD";#N/A,#N/A,FALSE,"NONOP283CRYTD";#N/A,#N/A,FALSE,"OP283PRYTD";#N/A,#N/A,FALSE,"NONOP283PRYTD";#N/A,#N/A,FALSE,"DITSUM";#N/A,#N/A,FALSE,"CRYTDACREC";#N/A,#N/A,FALSE,"PRYTDACREC";#N/A,#N/A,FALSE,"SYSJRNL";#N/A,#N/A,FALSE,"FAS109 OPERATING";#N/A,#N/A,FALSE,"FAS109 NONOPERATING"}</definedName>
    <definedName name="wrn.CLP_PROV." hidden="1">{#N/A,#N/A,FALSE,"TITLEPG";#N/A,#N/A,FALSE,"INDEX";#N/A,#N/A,FALSE,"BKTAXINCOME";#N/A,#N/A,FALSE,"INTERESTALLOC";#N/A,#N/A,FALSE,"FITCALC";#N/A,#N/A,FALSE,"CCBT";#N/A,#N/A,FALSE,"CGE";#N/A,#N/A,FALSE,"MFT";#N/A,#N/A,FALSE,"NHBPT";#N/A,#N/A,FALSE,"OPPERMEVENTS";#N/A,#N/A,FALSE,"NONOPPERMEVENTS";#N/A,#N/A,FALSE,"OPTIMEVENTS";#N/A,#N/A,FALSE,"NONOPTIMEVENTS";#N/A,#N/A,FALSE,"DEPREC";#N/A,#N/A,FALSE,"OPPERMDIFF";#N/A,#N/A,FALSE,"NONOPPERMDIFF";#N/A,#N/A,FALSE,"OPTIMDIFF";#N/A,#N/A,FALSE,"NONOPTIMDIFF";#N/A,#N/A,FALSE,"OP190CRQTR";#N/A,#N/A,FALSE,"NONOP190CRQTR";#N/A,#N/A,FALSE,"OP190CRYTD";#N/A,#N/A,FALSE,"NONOP190CRYTD";#N/A,#N/A,FALSE,"OP190PRYTD";#N/A,#N/A,FALSE,"NONOP190PRYTD";#N/A,#N/A,FALSE,"OP282CRQTR";#N/A,#N/A,FALSE,"NONOP282CRQTR";#N/A,#N/A,FALSE,"OP282CRYTD";#N/A,#N/A,FALSE,"NONOP282CRYTD";#N/A,#N/A,FALSE,"OP282PRYTD";#N/A,#N/A,FALSE,"NONOP282PRYTD";#N/A,#N/A,FALSE,"OP283CRQTR";#N/A,#N/A,FALSE,"NONOP283CRQTR";#N/A,#N/A,FALSE,"OP283CRYTD";#N/A,#N/A,FALSE,"NONOP283CRYTD";#N/A,#N/A,FALSE,"OP283PRYTD";#N/A,#N/A,FALSE,"NONOP283PRYTD";#N/A,#N/A,FALSE,"DITSUM";#N/A,#N/A,FALSE,"CRYTDACREC";#N/A,#N/A,FALSE,"PRYTDACREC";#N/A,#N/A,FALSE,"SYSJRNL";#N/A,#N/A,FALSE,"FAS109 OPERATING";#N/A,#N/A,FALSE,"FAS109 NONOPERATING"}</definedName>
    <definedName name="wrn.ROR_MEMO." localSheetId="12" hidden="1">{#N/A,#N/A,FALSE,"RORMEMO";#N/A,#N/A,FALSE,"RORSUMMARY";#N/A,#N/A,FALSE,"RORDETAIL"}</definedName>
    <definedName name="wrn.ROR_MEMO." hidden="1">{#N/A,#N/A,FALSE,"RORMEMO";#N/A,#N/A,FALSE,"RORSUMMARY";#N/A,#N/A,FALSE,"RORDETAIL"}</definedName>
    <definedName name="wrn.WMECO_GL." localSheetId="12" hidden="1">{#N/A,#N/A,FALSE,"GLDwnLoad"}</definedName>
    <definedName name="wrn.WMECO_GL." hidden="1">{#N/A,#N/A,FALSE,"GLDwnLoad"}</definedName>
    <definedName name="wrn.WMECO_INPUTS." localSheetId="12" hidden="1">{#N/A,#N/A,FALSE,"OTHERINPUTS";#N/A,#N/A,FALSE,"DITRATEINPUTS";#N/A,#N/A,FALSE,"SUPPLIEDADJINPUT";#N/A,#N/A,FALSE,"TIMINGDIFFINPUTS";#N/A,#N/A,FALSE,"BR&amp;SUPADJ."}</definedName>
    <definedName name="wrn.WMECO_INPUTS." hidden="1">{#N/A,#N/A,FALSE,"OTHERINPUTS";#N/A,#N/A,FALSE,"DITRATEINPUTS";#N/A,#N/A,FALSE,"SUPPLIEDADJINPUT";#N/A,#N/A,FALSE,"TIMINGDIFFINPUTS";#N/A,#N/A,FALSE,"BR&amp;SUPADJ."}</definedName>
    <definedName name="wrn.WMECO_PROV." localSheetId="12" hidden="1">{#N/A,#N/A,FALSE,"TITLEPG";#N/A,#N/A,FALSE,"INDEX";#N/A,#N/A,FALSE,"BKTAXINCOME";#N/A,#N/A,FALSE,"INTERESTALLOC";#N/A,#N/A,FALSE,"FITCALC";#N/A,#N/A,FALSE,"CCBT";#N/A,#N/A,FALSE,"MFT";#N/A,#N/A,FALSE,"NHBPT";#N/A,#N/A,FALSE,"OPPERMEVENTS";#N/A,#N/A,FALSE,"NONOPPERMEVENTS";#N/A,#N/A,FALSE,"OPTIMEVENTS";#N/A,#N/A,FALSE,"NONOPTIMEVENTS";#N/A,#N/A,FALSE,"DEPREC";#N/A,#N/A,FALSE,"OPPERMDIFF";#N/A,#N/A,FALSE,"NONOPPERMDIFF";#N/A,#N/A,FALSE,"OPTIMDIFF";#N/A,#N/A,FALSE,"NONOPTIMDIFF";#N/A,#N/A,FALSE,"OP190CRQTR";#N/A,#N/A,FALSE,"NONOP190CRQTR";#N/A,#N/A,FALSE,"OP190CRYTD";#N/A,#N/A,FALSE,"NONOP190CRYTD";#N/A,#N/A,FALSE,"OP190PRYTD";#N/A,#N/A,FALSE,"NONOP190PRYTD";#N/A,#N/A,FALSE,"OP282CRQTR";#N/A,#N/A,FALSE,"NONOP282CRQTR";#N/A,#N/A,FALSE,"OP282CRYTD";#N/A,#N/A,FALSE,"NONOP282CRYTD";#N/A,#N/A,FALSE,"OP282PRYTD";#N/A,#N/A,FALSE,"NONOP282PRYTD";#N/A,#N/A,FALSE,"OP283CRQTR";#N/A,#N/A,FALSE,"NONOP283CRQTR";#N/A,#N/A,FALSE,"OP283CRYTD";#N/A,#N/A,FALSE,"NONOP283CRYTD";#N/A,#N/A,FALSE,"OP283PRYTD";#N/A,#N/A,FALSE,"NONOP283PRYTD";#N/A,#N/A,FALSE,"DITSUM";#N/A,#N/A,FALSE,"CRYTDACREC";#N/A,#N/A,FALSE,"PRYTDACREC";#N/A,#N/A,FALSE,"SYSJRNL";#N/A,#N/A,FALSE,"FAS109 OPERATING";#N/A,#N/A,FALSE,"FAS109 Summary";#N/A,#N/A,FALSE,"FAS109 OPER 190 ITC";#N/A,#N/A,FALSE,"FAS109 OPER 190 Other";#N/A,#N/A,FALSE,"FAS109 OPER 282";#N/A,#N/A,FALSE,"FAS109 OPER 283";#N/A,#N/A,FALSE,"FAS109 NONOPER 282"}</definedName>
    <definedName name="wrn.WMECO_PROV." hidden="1">{#N/A,#N/A,FALSE,"TITLEPG";#N/A,#N/A,FALSE,"INDEX";#N/A,#N/A,FALSE,"BKTAXINCOME";#N/A,#N/A,FALSE,"INTERESTALLOC";#N/A,#N/A,FALSE,"FITCALC";#N/A,#N/A,FALSE,"CCBT";#N/A,#N/A,FALSE,"MFT";#N/A,#N/A,FALSE,"NHBPT";#N/A,#N/A,FALSE,"OPPERMEVENTS";#N/A,#N/A,FALSE,"NONOPPERMEVENTS";#N/A,#N/A,FALSE,"OPTIMEVENTS";#N/A,#N/A,FALSE,"NONOPTIMEVENTS";#N/A,#N/A,FALSE,"DEPREC";#N/A,#N/A,FALSE,"OPPERMDIFF";#N/A,#N/A,FALSE,"NONOPPERMDIFF";#N/A,#N/A,FALSE,"OPTIMDIFF";#N/A,#N/A,FALSE,"NONOPTIMDIFF";#N/A,#N/A,FALSE,"OP190CRQTR";#N/A,#N/A,FALSE,"NONOP190CRQTR";#N/A,#N/A,FALSE,"OP190CRYTD";#N/A,#N/A,FALSE,"NONOP190CRYTD";#N/A,#N/A,FALSE,"OP190PRYTD";#N/A,#N/A,FALSE,"NONOP190PRYTD";#N/A,#N/A,FALSE,"OP282CRQTR";#N/A,#N/A,FALSE,"NONOP282CRQTR";#N/A,#N/A,FALSE,"OP282CRYTD";#N/A,#N/A,FALSE,"NONOP282CRYTD";#N/A,#N/A,FALSE,"OP282PRYTD";#N/A,#N/A,FALSE,"NONOP282PRYTD";#N/A,#N/A,FALSE,"OP283CRQTR";#N/A,#N/A,FALSE,"NONOP283CRQTR";#N/A,#N/A,FALSE,"OP283CRYTD";#N/A,#N/A,FALSE,"NONOP283CRYTD";#N/A,#N/A,FALSE,"OP283PRYTD";#N/A,#N/A,FALSE,"NONOP283PRYTD";#N/A,#N/A,FALSE,"DITSUM";#N/A,#N/A,FALSE,"CRYTDACREC";#N/A,#N/A,FALSE,"PRYTDACREC";#N/A,#N/A,FALSE,"SYSJRNL";#N/A,#N/A,FALSE,"FAS109 OPERATING";#N/A,#N/A,FALSE,"FAS109 Summary";#N/A,#N/A,FALSE,"FAS109 OPER 190 ITC";#N/A,#N/A,FALSE,"FAS109 OPER 190 Other";#N/A,#N/A,FALSE,"FAS109 OPER 282";#N/A,#N/A,FALSE,"FAS109 OPER 283";#N/A,#N/A,FALSE,"FAS109 NONOPER 282"}</definedName>
    <definedName name="YTDActual" localSheetId="31">#REF!</definedName>
    <definedName name="YTDActual" localSheetId="1">#REF!</definedName>
    <definedName name="YTDActual" localSheetId="32">#REF!</definedName>
    <definedName name="YTDActual" localSheetId="2">#REF!</definedName>
    <definedName name="YTDActual" localSheetId="3">#REF!</definedName>
    <definedName name="YTDActual" localSheetId="33">#REF!</definedName>
    <definedName name="YTDActual" localSheetId="5">#REF!</definedName>
    <definedName name="YTDActual" localSheetId="34">#REF!</definedName>
    <definedName name="YTDActual" localSheetId="7">#REF!</definedName>
    <definedName name="YTDActual" localSheetId="13">#REF!</definedName>
    <definedName name="YTDActual" localSheetId="17">#REF!</definedName>
    <definedName name="YTDActual" localSheetId="18">#REF!</definedName>
    <definedName name="YTDActual" localSheetId="14">#REF!</definedName>
    <definedName name="YTDActual" localSheetId="19">#REF!</definedName>
    <definedName name="YTDActual" localSheetId="20">#REF!</definedName>
    <definedName name="YTDActual" localSheetId="15">#REF!</definedName>
    <definedName name="YTDActual" localSheetId="21">#REF!</definedName>
    <definedName name="YTDActual" localSheetId="22">#REF!</definedName>
    <definedName name="YTDActual" localSheetId="16">#REF!</definedName>
    <definedName name="YTDActual" localSheetId="23">#REF!</definedName>
    <definedName name="YTDActual" localSheetId="24">#REF!</definedName>
    <definedName name="YTDActual">#REF!</definedName>
    <definedName name="ytdcc" localSheetId="27">#REF!</definedName>
    <definedName name="ytdcc" localSheetId="30">#REF!</definedName>
    <definedName name="ytdcc" localSheetId="10">#REF!</definedName>
    <definedName name="ytdcc" localSheetId="31">#REF!</definedName>
    <definedName name="ytdcc" localSheetId="1">#REF!</definedName>
    <definedName name="ytdcc" localSheetId="32">#REF!</definedName>
    <definedName name="ytdcc" localSheetId="2">#REF!</definedName>
    <definedName name="ytdcc" localSheetId="3">#REF!</definedName>
    <definedName name="ytdcc" localSheetId="9">#REF!</definedName>
    <definedName name="ytdcc" localSheetId="33">#REF!</definedName>
    <definedName name="ytdcc" localSheetId="5">#REF!</definedName>
    <definedName name="ytdcc" localSheetId="34">#REF!</definedName>
    <definedName name="ytdcc" localSheetId="7">#REF!</definedName>
    <definedName name="ytdcc" localSheetId="13">#REF!</definedName>
    <definedName name="ytdcc" localSheetId="17">#REF!</definedName>
    <definedName name="ytdcc" localSheetId="18">#REF!</definedName>
    <definedName name="ytdcc" localSheetId="14">#REF!</definedName>
    <definedName name="ytdcc" localSheetId="19">#REF!</definedName>
    <definedName name="ytdcc" localSheetId="20">#REF!</definedName>
    <definedName name="ytdcc" localSheetId="15">#REF!</definedName>
    <definedName name="ytdcc" localSheetId="21">#REF!</definedName>
    <definedName name="ytdcc" localSheetId="22">#REF!</definedName>
    <definedName name="ytdcc" localSheetId="16">#REF!</definedName>
    <definedName name="ytdcc" localSheetId="23">#REF!</definedName>
    <definedName name="ytdcc" localSheetId="24">#REF!</definedName>
    <definedName name="ytdcc" localSheetId="12">#REF!</definedName>
    <definedName name="ytdcc">#REF!</definedName>
    <definedName name="Z_D2F95F47_E6D4_11D4_AE5C_97D8D8C33B07_.wvu.Cols" localSheetId="26" hidden="1">'2014-24 ES CT G Table D1 AnnCCF'!#REF!</definedName>
    <definedName name="Z_D2F95F47_E6D4_11D4_AE5C_97D8D8C33B07_.wvu.Cols" localSheetId="27" hidden="1">'2014-24 ES CT G Table D2LifeCCF'!#REF!</definedName>
    <definedName name="Z_D2F95F47_E6D4_11D4_AE5C_97D8D8C33B07_.wvu.Cols" localSheetId="30" hidden="1">'2014-24 ES CT G Table D5-Units'!#REF!</definedName>
    <definedName name="Z_D2F95F47_E6D4_11D4_AE5C_97D8D8C33B07_.wvu.Cols" localSheetId="25" hidden="1">'2014-25 ES CT G Table D-Proj $'!#REF!</definedName>
    <definedName name="Z_D2F95F47_E6D4_11D4_AE5C_97D8D8C33B07_.wvu.PrintArea" localSheetId="26" hidden="1">'2014-24 ES CT G Table D1 AnnCCF'!$A$2:$C$33</definedName>
    <definedName name="Z_D2F95F47_E6D4_11D4_AE5C_97D8D8C33B07_.wvu.PrintArea" localSheetId="27" hidden="1">'2014-24 ES CT G Table D2LifeCCF'!#REF!</definedName>
    <definedName name="Z_D2F95F47_E6D4_11D4_AE5C_97D8D8C33B07_.wvu.PrintArea" localSheetId="30" hidden="1">'2014-24 ES CT G Table D5-Units'!#REF!</definedName>
    <definedName name="Z_D2F95F47_E6D4_11D4_AE5C_97D8D8C33B07_.wvu.PrintArea" localSheetId="25" hidden="1">'2014-25 ES CT G Table D-Proj $'!$A$2:$C$58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3" i="77" l="1"/>
  <c r="E38" i="77"/>
  <c r="E53" i="76"/>
  <c r="E38" i="76"/>
  <c r="E53" i="75"/>
  <c r="E38" i="75"/>
  <c r="O28" i="27"/>
  <c r="N28" i="27"/>
  <c r="M28" i="27"/>
  <c r="O27" i="27"/>
  <c r="N27" i="27"/>
  <c r="M27" i="27"/>
  <c r="O26" i="27"/>
  <c r="N26" i="27"/>
  <c r="M26" i="27"/>
  <c r="O25" i="27"/>
  <c r="N25" i="27"/>
  <c r="M25" i="27"/>
  <c r="O22" i="27"/>
  <c r="N22" i="27"/>
  <c r="M22" i="27"/>
  <c r="O20" i="27"/>
  <c r="N20" i="27"/>
  <c r="M20" i="27"/>
  <c r="O14" i="27"/>
  <c r="N14" i="27"/>
  <c r="M14" i="27"/>
  <c r="O13" i="27"/>
  <c r="N13" i="27"/>
  <c r="M13" i="27"/>
  <c r="O12" i="27"/>
  <c r="N12" i="27"/>
  <c r="M12" i="27"/>
  <c r="O27" i="28"/>
  <c r="N27" i="28"/>
  <c r="M27" i="28"/>
  <c r="O26" i="28"/>
  <c r="N26" i="28"/>
  <c r="M26" i="28"/>
  <c r="O25" i="28"/>
  <c r="N25" i="28"/>
  <c r="M25" i="28"/>
  <c r="O24" i="28"/>
  <c r="N24" i="28"/>
  <c r="M24" i="28"/>
  <c r="O21" i="28"/>
  <c r="N21" i="28"/>
  <c r="M21" i="28"/>
  <c r="O19" i="28"/>
  <c r="N19" i="28"/>
  <c r="M19" i="28"/>
  <c r="O13" i="28"/>
  <c r="N13" i="28"/>
  <c r="M13" i="28"/>
  <c r="O12" i="28"/>
  <c r="N12" i="28"/>
  <c r="M12" i="28"/>
  <c r="O11" i="28"/>
  <c r="N11" i="28"/>
  <c r="M11" i="28"/>
  <c r="O27" i="14"/>
  <c r="N27" i="14"/>
  <c r="M27" i="14"/>
  <c r="O26" i="14"/>
  <c r="N26" i="14"/>
  <c r="M26" i="14"/>
  <c r="O25" i="14"/>
  <c r="N25" i="14"/>
  <c r="M25" i="14"/>
  <c r="O24" i="14"/>
  <c r="N24" i="14"/>
  <c r="M24" i="14"/>
  <c r="O21" i="14"/>
  <c r="N21" i="14"/>
  <c r="M21" i="14"/>
  <c r="O19" i="14"/>
  <c r="N19" i="14"/>
  <c r="M19" i="14"/>
  <c r="O13" i="14"/>
  <c r="N13" i="14"/>
  <c r="M13" i="14"/>
  <c r="O12" i="14"/>
  <c r="N12" i="14"/>
  <c r="M12" i="14"/>
  <c r="O11" i="14"/>
  <c r="N11" i="14"/>
  <c r="M11" i="14"/>
  <c r="C61" i="77"/>
  <c r="C56" i="77"/>
  <c r="C46" i="77"/>
  <c r="C42" i="77"/>
  <c r="C41" i="77"/>
  <c r="C28" i="77"/>
  <c r="C16" i="77"/>
  <c r="C61" i="76"/>
  <c r="C56" i="76"/>
  <c r="C46" i="76"/>
  <c r="C42" i="76"/>
  <c r="C41" i="76"/>
  <c r="C28" i="76"/>
  <c r="C16" i="76"/>
  <c r="Z48" i="44" l="1"/>
  <c r="C50" i="81"/>
  <c r="C49" i="81"/>
  <c r="C48" i="81"/>
  <c r="E48" i="81" s="1"/>
  <c r="C47" i="81"/>
  <c r="C43" i="74"/>
  <c r="C44" i="81"/>
  <c r="C34" i="81"/>
  <c r="C31" i="81"/>
  <c r="C30" i="81"/>
  <c r="C30" i="74"/>
  <c r="C44" i="82"/>
  <c r="C45" i="82" s="1"/>
  <c r="C34" i="82"/>
  <c r="C34" i="73"/>
  <c r="C50" i="82"/>
  <c r="C46" i="73"/>
  <c r="C49" i="82"/>
  <c r="C45" i="73"/>
  <c r="C48" i="82"/>
  <c r="C44" i="73"/>
  <c r="C40" i="73"/>
  <c r="C31" i="73"/>
  <c r="C30" i="82"/>
  <c r="G31" i="81"/>
  <c r="G30" i="81"/>
  <c r="G32" i="81" s="1"/>
  <c r="C39" i="82"/>
  <c r="G31" i="82"/>
  <c r="G30" i="82"/>
  <c r="G32" i="82" s="1"/>
  <c r="E49" i="81" l="1"/>
  <c r="E50" i="81"/>
  <c r="E31" i="81"/>
  <c r="E44" i="81"/>
  <c r="E45" i="81" s="1"/>
  <c r="C45" i="81"/>
  <c r="C39" i="81"/>
  <c r="E34" i="81"/>
  <c r="E39" i="81" s="1"/>
  <c r="C32" i="81"/>
  <c r="E30" i="81"/>
  <c r="E32" i="81" s="1"/>
  <c r="C32" i="82"/>
  <c r="C41" i="82" s="1"/>
  <c r="G34" i="81"/>
  <c r="G34" i="82"/>
  <c r="E41" i="81" l="1"/>
  <c r="E47" i="81" s="1"/>
  <c r="C41" i="81"/>
  <c r="F30" i="81" s="1"/>
  <c r="H30" i="81" s="1"/>
  <c r="F30" i="82"/>
  <c r="C47" i="82"/>
  <c r="F31" i="82"/>
  <c r="H31" i="82" s="1"/>
  <c r="F34" i="82"/>
  <c r="H34" i="82" s="1"/>
  <c r="H39" i="82" s="1"/>
  <c r="G38" i="81"/>
  <c r="G37" i="81"/>
  <c r="G39" i="81"/>
  <c r="G41" i="81" s="1"/>
  <c r="G35" i="81"/>
  <c r="G36" i="81"/>
  <c r="G38" i="82"/>
  <c r="G37" i="82"/>
  <c r="G39" i="82"/>
  <c r="G41" i="82" s="1"/>
  <c r="G36" i="82"/>
  <c r="G35" i="82"/>
  <c r="H30" i="82"/>
  <c r="F34" i="81" l="1"/>
  <c r="F37" i="81" s="1"/>
  <c r="F31" i="81"/>
  <c r="H31" i="81" s="1"/>
  <c r="F32" i="81"/>
  <c r="F36" i="81"/>
  <c r="E44" i="82"/>
  <c r="E45" i="82" s="1"/>
  <c r="E34" i="82"/>
  <c r="E39" i="82" s="1"/>
  <c r="E31" i="82"/>
  <c r="E49" i="82"/>
  <c r="E48" i="82"/>
  <c r="E50" i="82"/>
  <c r="E30" i="82"/>
  <c r="E32" i="82" s="1"/>
  <c r="F32" i="82"/>
  <c r="H32" i="82" s="1"/>
  <c r="H41" i="82" s="1"/>
  <c r="F35" i="82"/>
  <c r="F39" i="82"/>
  <c r="F36" i="82"/>
  <c r="F37" i="82"/>
  <c r="F38" i="82"/>
  <c r="H32" i="81" l="1"/>
  <c r="F38" i="81"/>
  <c r="F39" i="81"/>
  <c r="F41" i="81" s="1"/>
  <c r="F35" i="81"/>
  <c r="H34" i="81"/>
  <c r="H39" i="81" s="1"/>
  <c r="F41" i="82"/>
  <c r="E41" i="82"/>
  <c r="E47" i="82" s="1"/>
  <c r="H41" i="81" l="1"/>
  <c r="C50" i="80" l="1"/>
  <c r="C49" i="80"/>
  <c r="C48" i="80"/>
  <c r="C44" i="80"/>
  <c r="C45" i="80" s="1"/>
  <c r="C39" i="80"/>
  <c r="C34" i="80"/>
  <c r="C32" i="80"/>
  <c r="C41" i="80" s="1"/>
  <c r="G31" i="80"/>
  <c r="G30" i="80"/>
  <c r="G32" i="80" s="1"/>
  <c r="C30" i="80"/>
  <c r="C47" i="80" l="1"/>
  <c r="F34" i="80"/>
  <c r="E48" i="80"/>
  <c r="E30" i="80"/>
  <c r="E49" i="80"/>
  <c r="G34" i="80"/>
  <c r="E50" i="80"/>
  <c r="C31" i="80"/>
  <c r="F30" i="80"/>
  <c r="E44" i="80"/>
  <c r="E45" i="80" s="1"/>
  <c r="E34" i="80"/>
  <c r="E39" i="80" s="1"/>
  <c r="G37" i="80" l="1"/>
  <c r="G39" i="80"/>
  <c r="G41" i="80" s="1"/>
  <c r="G36" i="80"/>
  <c r="G35" i="80"/>
  <c r="G38" i="80"/>
  <c r="H30" i="80"/>
  <c r="F36" i="80"/>
  <c r="H34" i="80"/>
  <c r="H39" i="80" s="1"/>
  <c r="F37" i="80"/>
  <c r="F39" i="80"/>
  <c r="F38" i="80"/>
  <c r="F35" i="80"/>
  <c r="E31" i="80"/>
  <c r="E32" i="80" s="1"/>
  <c r="E41" i="80" s="1"/>
  <c r="E47" i="80" s="1"/>
  <c r="F31" i="80"/>
  <c r="H31" i="80" s="1"/>
  <c r="F32" i="80" l="1"/>
  <c r="F41" i="80" l="1"/>
  <c r="H32" i="80"/>
  <c r="H41" i="80" s="1"/>
  <c r="G34" i="70" l="1"/>
  <c r="D34" i="70"/>
  <c r="D34" i="68"/>
  <c r="G34" i="68" s="1"/>
  <c r="L23" i="3"/>
  <c r="M18" i="68" s="1"/>
  <c r="L22" i="3"/>
  <c r="N21" i="13" s="1"/>
  <c r="L21" i="3"/>
  <c r="N20" i="13" s="1"/>
  <c r="K22" i="3"/>
  <c r="K23" i="3"/>
  <c r="K21" i="3"/>
  <c r="O23" i="3"/>
  <c r="P22" i="13" s="1"/>
  <c r="O22" i="3"/>
  <c r="P21" i="13" s="1"/>
  <c r="N21" i="3"/>
  <c r="O20" i="13" s="1"/>
  <c r="N23" i="3"/>
  <c r="N22" i="3"/>
  <c r="O21" i="3"/>
  <c r="P20" i="13" s="1"/>
  <c r="O16" i="3"/>
  <c r="P14" i="13" s="1"/>
  <c r="O14" i="3"/>
  <c r="X14" i="44" s="1"/>
  <c r="N16" i="3"/>
  <c r="O14" i="13" s="1"/>
  <c r="N14" i="3"/>
  <c r="O12" i="13" s="1"/>
  <c r="N13" i="3"/>
  <c r="O11" i="13" s="1"/>
  <c r="O13" i="3"/>
  <c r="P51" i="13"/>
  <c r="P50" i="13"/>
  <c r="P49" i="13"/>
  <c r="P48" i="13"/>
  <c r="P47" i="13"/>
  <c r="P46" i="13"/>
  <c r="P45" i="13"/>
  <c r="P44" i="13"/>
  <c r="P43" i="13"/>
  <c r="P36" i="13"/>
  <c r="P35" i="13"/>
  <c r="P34" i="13"/>
  <c r="P28" i="13"/>
  <c r="P27" i="13"/>
  <c r="P26" i="13"/>
  <c r="P25" i="13"/>
  <c r="P19" i="13"/>
  <c r="P16" i="13"/>
  <c r="P13" i="13"/>
  <c r="P11" i="13"/>
  <c r="O51" i="13"/>
  <c r="O50" i="13"/>
  <c r="O49" i="13"/>
  <c r="O48" i="13"/>
  <c r="O47" i="13"/>
  <c r="O46" i="13"/>
  <c r="O45" i="13"/>
  <c r="O44" i="13"/>
  <c r="O43" i="13"/>
  <c r="O36" i="13"/>
  <c r="O35" i="13"/>
  <c r="O34" i="13"/>
  <c r="O28" i="13"/>
  <c r="O27" i="13"/>
  <c r="O26" i="13"/>
  <c r="O25" i="13"/>
  <c r="O22" i="13"/>
  <c r="O21" i="13"/>
  <c r="O19" i="13"/>
  <c r="O16" i="13"/>
  <c r="O13" i="13"/>
  <c r="N51" i="13"/>
  <c r="N50" i="13"/>
  <c r="N49" i="13"/>
  <c r="N48" i="13"/>
  <c r="N47" i="13"/>
  <c r="N46" i="13"/>
  <c r="N45" i="13"/>
  <c r="N44" i="13"/>
  <c r="N43" i="13"/>
  <c r="N36" i="13"/>
  <c r="N35" i="13"/>
  <c r="N34" i="13"/>
  <c r="N28" i="13"/>
  <c r="N27" i="13"/>
  <c r="N26" i="13"/>
  <c r="N25" i="13"/>
  <c r="N22" i="13"/>
  <c r="N19" i="13"/>
  <c r="N16" i="13"/>
  <c r="N14" i="13"/>
  <c r="N13" i="13"/>
  <c r="N12" i="13"/>
  <c r="D14" i="77"/>
  <c r="D13" i="77"/>
  <c r="D12" i="77"/>
  <c r="D11" i="77"/>
  <c r="D10" i="77"/>
  <c r="D9" i="77"/>
  <c r="D8" i="77"/>
  <c r="D7" i="77"/>
  <c r="D14" i="75"/>
  <c r="D13" i="75"/>
  <c r="N11" i="13"/>
  <c r="M40" i="70"/>
  <c r="M39" i="70"/>
  <c r="M38" i="70"/>
  <c r="M37" i="70"/>
  <c r="M36" i="70"/>
  <c r="M35" i="70"/>
  <c r="M34" i="70"/>
  <c r="M33" i="70"/>
  <c r="M32" i="70"/>
  <c r="M29" i="70"/>
  <c r="M28" i="70"/>
  <c r="M27" i="70"/>
  <c r="M24" i="70"/>
  <c r="M23" i="70"/>
  <c r="M22" i="70"/>
  <c r="M21" i="70"/>
  <c r="M18" i="70"/>
  <c r="M17" i="70"/>
  <c r="M15" i="70"/>
  <c r="M12" i="70"/>
  <c r="M10" i="70"/>
  <c r="C30" i="64"/>
  <c r="C30" i="73" s="1"/>
  <c r="O42" i="68"/>
  <c r="F10" i="68"/>
  <c r="M40" i="68"/>
  <c r="M39" i="68"/>
  <c r="M38" i="68"/>
  <c r="M37" i="68"/>
  <c r="M36" i="68"/>
  <c r="M35" i="68"/>
  <c r="M34" i="68"/>
  <c r="M33" i="68"/>
  <c r="M32" i="68"/>
  <c r="M29" i="68"/>
  <c r="M28" i="68"/>
  <c r="M27" i="68"/>
  <c r="M24" i="68"/>
  <c r="M23" i="68"/>
  <c r="M22" i="68"/>
  <c r="M21" i="68"/>
  <c r="M15" i="68"/>
  <c r="M12" i="68"/>
  <c r="M11" i="68"/>
  <c r="M10" i="68"/>
  <c r="M9" i="68"/>
  <c r="M8" i="68"/>
  <c r="Z42" i="44"/>
  <c r="Z43" i="44"/>
  <c r="Z44" i="44"/>
  <c r="Z45" i="44"/>
  <c r="Z46" i="44"/>
  <c r="Z47" i="44"/>
  <c r="Z41" i="44"/>
  <c r="Z37" i="44"/>
  <c r="Z38" i="44"/>
  <c r="Z36" i="44"/>
  <c r="Z31" i="44"/>
  <c r="Z32" i="44"/>
  <c r="Z33" i="44"/>
  <c r="Z30" i="44"/>
  <c r="Z27" i="44"/>
  <c r="Z26" i="44"/>
  <c r="Z21" i="44"/>
  <c r="Z22" i="44"/>
  <c r="Z23" i="44"/>
  <c r="Z20" i="44"/>
  <c r="Z15" i="44"/>
  <c r="Z16" i="44"/>
  <c r="Z17" i="44"/>
  <c r="Z13" i="44"/>
  <c r="V42" i="44"/>
  <c r="V43" i="44"/>
  <c r="V44" i="44"/>
  <c r="V45" i="44"/>
  <c r="V46" i="44"/>
  <c r="V47" i="44"/>
  <c r="V48" i="44"/>
  <c r="V41" i="44"/>
  <c r="V37" i="44"/>
  <c r="V38" i="44"/>
  <c r="V36" i="44"/>
  <c r="V31" i="44"/>
  <c r="V32" i="44"/>
  <c r="V33" i="44"/>
  <c r="V30" i="44"/>
  <c r="V27" i="44"/>
  <c r="V26" i="44"/>
  <c r="V21" i="44"/>
  <c r="V22" i="44"/>
  <c r="V23" i="44"/>
  <c r="V20" i="44"/>
  <c r="V14" i="44"/>
  <c r="V15" i="44"/>
  <c r="V16" i="44"/>
  <c r="V17" i="44"/>
  <c r="V13" i="44"/>
  <c r="R42" i="44"/>
  <c r="R43" i="44"/>
  <c r="R44" i="44"/>
  <c r="R45" i="44"/>
  <c r="R46" i="44"/>
  <c r="R47" i="44"/>
  <c r="R48" i="44"/>
  <c r="R41" i="44"/>
  <c r="R37" i="44"/>
  <c r="R38" i="44"/>
  <c r="R36" i="44"/>
  <c r="R31" i="44"/>
  <c r="R32" i="44"/>
  <c r="R33" i="44"/>
  <c r="R30" i="44"/>
  <c r="R27" i="44"/>
  <c r="R26" i="44"/>
  <c r="R21" i="44"/>
  <c r="R22" i="44"/>
  <c r="R23" i="44"/>
  <c r="R20" i="44"/>
  <c r="R14" i="44"/>
  <c r="R15" i="44"/>
  <c r="R16" i="44"/>
  <c r="R17" i="44"/>
  <c r="R13" i="44"/>
  <c r="Y42" i="44"/>
  <c r="Y43" i="44"/>
  <c r="Y44" i="44"/>
  <c r="Y45" i="44"/>
  <c r="Y46" i="44"/>
  <c r="Y47" i="44"/>
  <c r="Y48" i="44"/>
  <c r="Y41" i="44"/>
  <c r="Y37" i="44"/>
  <c r="Y38" i="44"/>
  <c r="Y36" i="44"/>
  <c r="Y31" i="44"/>
  <c r="Y32" i="44"/>
  <c r="Y33" i="44"/>
  <c r="Y30" i="44"/>
  <c r="Y27" i="44"/>
  <c r="Y26" i="44"/>
  <c r="Y21" i="44"/>
  <c r="Y22" i="44"/>
  <c r="Y23" i="44"/>
  <c r="Y20" i="44"/>
  <c r="Y15" i="44"/>
  <c r="Y16" i="44"/>
  <c r="Y17" i="44"/>
  <c r="Y13" i="44"/>
  <c r="U42" i="44"/>
  <c r="U43" i="44"/>
  <c r="U44" i="44"/>
  <c r="U45" i="44"/>
  <c r="U46" i="44"/>
  <c r="U47" i="44"/>
  <c r="U48" i="44"/>
  <c r="U41" i="44"/>
  <c r="U37" i="44"/>
  <c r="U38" i="44"/>
  <c r="U36" i="44"/>
  <c r="U31" i="44"/>
  <c r="U32" i="44"/>
  <c r="U33" i="44"/>
  <c r="U30" i="44"/>
  <c r="U27" i="44"/>
  <c r="U26" i="44"/>
  <c r="U21" i="44"/>
  <c r="U22" i="44"/>
  <c r="U23" i="44"/>
  <c r="U20" i="44"/>
  <c r="U14" i="44"/>
  <c r="U15" i="44"/>
  <c r="U16" i="44"/>
  <c r="U17" i="44"/>
  <c r="U13" i="44"/>
  <c r="Q42" i="44"/>
  <c r="Q43" i="44"/>
  <c r="Q44" i="44"/>
  <c r="Q45" i="44"/>
  <c r="Q46" i="44"/>
  <c r="Q47" i="44"/>
  <c r="Q48" i="44"/>
  <c r="Q41" i="44"/>
  <c r="Q37" i="44"/>
  <c r="Q38" i="44"/>
  <c r="Q36" i="44"/>
  <c r="Q31" i="44"/>
  <c r="Q32" i="44"/>
  <c r="Q33" i="44"/>
  <c r="Q30" i="44"/>
  <c r="Q27" i="44"/>
  <c r="Q26" i="44"/>
  <c r="Q21" i="44"/>
  <c r="Q22" i="44"/>
  <c r="Q23" i="44"/>
  <c r="Q20" i="44"/>
  <c r="Q14" i="44"/>
  <c r="Q15" i="44"/>
  <c r="Q16" i="44"/>
  <c r="Q17" i="44"/>
  <c r="Q13" i="44"/>
  <c r="X42" i="44"/>
  <c r="X43" i="44"/>
  <c r="X44" i="44"/>
  <c r="X45" i="44"/>
  <c r="X46" i="44"/>
  <c r="X47" i="44"/>
  <c r="X48" i="44"/>
  <c r="X49" i="44"/>
  <c r="X41" i="44"/>
  <c r="X37" i="44"/>
  <c r="X38" i="44"/>
  <c r="X36" i="44"/>
  <c r="X31" i="44"/>
  <c r="X32" i="44"/>
  <c r="X33" i="44"/>
  <c r="X30" i="44"/>
  <c r="X20" i="44"/>
  <c r="X15" i="44"/>
  <c r="X17" i="44"/>
  <c r="X13" i="44"/>
  <c r="T42" i="44"/>
  <c r="T43" i="44"/>
  <c r="T44" i="44"/>
  <c r="T45" i="44"/>
  <c r="T46" i="44"/>
  <c r="T47" i="44"/>
  <c r="T48" i="44"/>
  <c r="T49" i="44"/>
  <c r="T41" i="44"/>
  <c r="T37" i="44"/>
  <c r="T38" i="44"/>
  <c r="T36" i="44"/>
  <c r="T31" i="44"/>
  <c r="T32" i="44"/>
  <c r="T33" i="44"/>
  <c r="T30" i="44"/>
  <c r="T22" i="44"/>
  <c r="T23" i="44"/>
  <c r="T20" i="44"/>
  <c r="T15" i="44"/>
  <c r="T17" i="44"/>
  <c r="P42" i="44"/>
  <c r="P43" i="44"/>
  <c r="P44" i="44"/>
  <c r="P45" i="44"/>
  <c r="P46" i="44"/>
  <c r="P47" i="44"/>
  <c r="P48" i="44"/>
  <c r="P49" i="44"/>
  <c r="P41" i="44"/>
  <c r="P37" i="44"/>
  <c r="P38" i="44"/>
  <c r="P36" i="44"/>
  <c r="P31" i="44"/>
  <c r="P32" i="44"/>
  <c r="P33" i="44"/>
  <c r="P30" i="44"/>
  <c r="P22" i="44"/>
  <c r="P23" i="44"/>
  <c r="P20" i="44"/>
  <c r="P14" i="44"/>
  <c r="P15" i="44"/>
  <c r="P16" i="44"/>
  <c r="P17" i="44"/>
  <c r="P13" i="44"/>
  <c r="P11" i="44"/>
  <c r="Q11" i="44"/>
  <c r="R11" i="44"/>
  <c r="S11" i="44" s="1"/>
  <c r="X11" i="44"/>
  <c r="Y11" i="44" s="1"/>
  <c r="Z11" i="44" s="1"/>
  <c r="AA11" i="44" s="1"/>
  <c r="AA7" i="44"/>
  <c r="Z7" i="44"/>
  <c r="Y7" i="44"/>
  <c r="X39" i="44"/>
  <c r="X28" i="44"/>
  <c r="O20" i="3"/>
  <c r="N20" i="3"/>
  <c r="L20" i="3"/>
  <c r="L16" i="3"/>
  <c r="L14" i="3"/>
  <c r="M17" i="68" l="1"/>
  <c r="M16" i="68"/>
  <c r="P21" i="44"/>
  <c r="X23" i="44"/>
  <c r="AA23" i="44" s="1"/>
  <c r="X22" i="44"/>
  <c r="AA22" i="44" s="1"/>
  <c r="T21" i="44"/>
  <c r="M16" i="70"/>
  <c r="X21" i="44"/>
  <c r="X16" i="44"/>
  <c r="X18" i="44" s="1"/>
  <c r="X52" i="44" s="1"/>
  <c r="P12" i="13"/>
  <c r="T16" i="44"/>
  <c r="C30" i="65"/>
  <c r="M11" i="70"/>
  <c r="T14" i="44"/>
  <c r="M9" i="70"/>
  <c r="M8" i="70"/>
  <c r="T13" i="44"/>
  <c r="P41" i="13"/>
  <c r="P23" i="13"/>
  <c r="P55" i="13" s="1"/>
  <c r="X50" i="44"/>
  <c r="P52" i="13"/>
  <c r="P56" i="13"/>
  <c r="P32" i="13"/>
  <c r="P17" i="13"/>
  <c r="P54" i="13" s="1"/>
  <c r="AA47" i="44"/>
  <c r="AA33" i="44"/>
  <c r="AA17" i="44"/>
  <c r="AA48" i="44"/>
  <c r="AA45" i="44"/>
  <c r="AA14" i="44"/>
  <c r="AA26" i="44"/>
  <c r="AA32" i="44"/>
  <c r="AA38" i="44"/>
  <c r="AA27" i="44"/>
  <c r="AA31" i="44"/>
  <c r="Y18" i="44"/>
  <c r="Y52" i="44" s="1"/>
  <c r="Z39" i="44"/>
  <c r="Z18" i="44"/>
  <c r="Z52" i="44" s="1"/>
  <c r="Z28" i="44"/>
  <c r="Y24" i="44"/>
  <c r="Y53" i="44" s="1"/>
  <c r="Z24" i="44"/>
  <c r="Z53" i="44" s="1"/>
  <c r="Z34" i="44"/>
  <c r="AA15" i="44"/>
  <c r="AA46" i="44"/>
  <c r="Y39" i="44"/>
  <c r="AA44" i="44"/>
  <c r="AA43" i="44"/>
  <c r="AA42" i="44"/>
  <c r="X34" i="44"/>
  <c r="AA30" i="44"/>
  <c r="AA37" i="44"/>
  <c r="X54" i="44"/>
  <c r="AA13" i="44"/>
  <c r="AA20" i="44"/>
  <c r="Y28" i="44"/>
  <c r="AA36" i="44"/>
  <c r="AA41" i="44"/>
  <c r="Y34" i="44"/>
  <c r="L13" i="3"/>
  <c r="O15" i="3"/>
  <c r="N15" i="3"/>
  <c r="L15" i="3"/>
  <c r="O43" i="3"/>
  <c r="O41" i="3"/>
  <c r="O40" i="3"/>
  <c r="O39" i="3"/>
  <c r="O46" i="3" s="1"/>
  <c r="O35" i="3"/>
  <c r="O30" i="3"/>
  <c r="O29" i="3"/>
  <c r="O28" i="3"/>
  <c r="O27" i="3"/>
  <c r="O24" i="3"/>
  <c r="O48" i="3" s="1"/>
  <c r="O17" i="3"/>
  <c r="N43" i="3"/>
  <c r="N41" i="3"/>
  <c r="N40" i="3"/>
  <c r="N39" i="3"/>
  <c r="N46" i="3" s="1"/>
  <c r="M41" i="70" s="1"/>
  <c r="N35" i="3"/>
  <c r="M30" i="70" s="1"/>
  <c r="N30" i="3"/>
  <c r="M25" i="70" s="1"/>
  <c r="N29" i="3"/>
  <c r="N28" i="3"/>
  <c r="N27" i="3"/>
  <c r="N24" i="3"/>
  <c r="N17" i="3"/>
  <c r="L44" i="3"/>
  <c r="L43" i="3"/>
  <c r="L42" i="3"/>
  <c r="L41" i="3"/>
  <c r="L40" i="3"/>
  <c r="L39" i="3"/>
  <c r="L38" i="3"/>
  <c r="L37" i="3"/>
  <c r="L46" i="3" s="1"/>
  <c r="M41" i="68" s="1"/>
  <c r="L34" i="3"/>
  <c r="L35" i="3" s="1"/>
  <c r="M30" i="68" s="1"/>
  <c r="L33" i="3"/>
  <c r="L32" i="3"/>
  <c r="L29" i="3"/>
  <c r="L30" i="3" s="1"/>
  <c r="M25" i="68" s="1"/>
  <c r="L28" i="3"/>
  <c r="L27" i="3"/>
  <c r="L24" i="3"/>
  <c r="L17" i="3"/>
  <c r="D17" i="79"/>
  <c r="E17" i="79" s="1"/>
  <c r="F17" i="79" s="1"/>
  <c r="I6" i="79"/>
  <c r="J6" i="79" s="1"/>
  <c r="K6" i="79" s="1"/>
  <c r="F21" i="79"/>
  <c r="K10" i="79"/>
  <c r="F13" i="79"/>
  <c r="F12" i="79"/>
  <c r="C12" i="79"/>
  <c r="C11" i="79"/>
  <c r="F11" i="79" s="1"/>
  <c r="F10" i="79"/>
  <c r="X24" i="44" l="1"/>
  <c r="X53" i="44" s="1"/>
  <c r="X55" i="44" s="1"/>
  <c r="AA21" i="44"/>
  <c r="AA24" i="44" s="1"/>
  <c r="AA53" i="44" s="1"/>
  <c r="AA16" i="44"/>
  <c r="AA18" i="44" s="1"/>
  <c r="AA52" i="44" s="1"/>
  <c r="P57" i="13"/>
  <c r="N48" i="3"/>
  <c r="C34" i="65" s="1"/>
  <c r="C35" i="65" s="1"/>
  <c r="M19" i="70"/>
  <c r="L48" i="3"/>
  <c r="C34" i="64" s="1"/>
  <c r="C35" i="64" s="1"/>
  <c r="M19" i="68"/>
  <c r="AA28" i="44"/>
  <c r="AA34" i="44"/>
  <c r="AA39" i="44"/>
  <c r="N18" i="3"/>
  <c r="L18" i="3"/>
  <c r="O18" i="3"/>
  <c r="O47" i="3" s="1"/>
  <c r="O49" i="3"/>
  <c r="N49" i="3"/>
  <c r="C40" i="65" s="1"/>
  <c r="L49" i="3"/>
  <c r="C40" i="64" s="1"/>
  <c r="C41" i="64" s="1"/>
  <c r="J22" i="79"/>
  <c r="I22" i="79"/>
  <c r="H22" i="79"/>
  <c r="F22" i="79"/>
  <c r="E22" i="79"/>
  <c r="D22" i="79"/>
  <c r="C22" i="79"/>
  <c r="K21" i="79"/>
  <c r="K22" i="79" s="1"/>
  <c r="J14" i="79"/>
  <c r="I14" i="79"/>
  <c r="E14" i="79"/>
  <c r="D14" i="79"/>
  <c r="C14" i="79"/>
  <c r="F14" i="79" s="1"/>
  <c r="K13" i="79"/>
  <c r="K12" i="79"/>
  <c r="H14" i="79"/>
  <c r="V24" i="44"/>
  <c r="N49" i="44"/>
  <c r="N48" i="44"/>
  <c r="N47" i="44"/>
  <c r="N46" i="44"/>
  <c r="N45" i="44"/>
  <c r="N44" i="44"/>
  <c r="N43" i="44"/>
  <c r="N42" i="44"/>
  <c r="N41" i="44"/>
  <c r="N38" i="44"/>
  <c r="N37" i="44"/>
  <c r="N36" i="44"/>
  <c r="N33" i="44"/>
  <c r="N32" i="44"/>
  <c r="N31" i="44"/>
  <c r="N30" i="44"/>
  <c r="N27" i="44"/>
  <c r="N26" i="44"/>
  <c r="N23" i="44"/>
  <c r="N22" i="44"/>
  <c r="N21" i="44"/>
  <c r="N20" i="44"/>
  <c r="N17" i="44"/>
  <c r="N16" i="44"/>
  <c r="N15" i="44"/>
  <c r="N14" i="44"/>
  <c r="N13" i="44"/>
  <c r="J49" i="44"/>
  <c r="J48" i="44"/>
  <c r="J47" i="44"/>
  <c r="J46" i="44"/>
  <c r="J45" i="44"/>
  <c r="J44" i="44"/>
  <c r="J43" i="44"/>
  <c r="J42" i="44"/>
  <c r="J41" i="44"/>
  <c r="J38" i="44"/>
  <c r="J37" i="44"/>
  <c r="J36" i="44"/>
  <c r="J33" i="44"/>
  <c r="J32" i="44"/>
  <c r="J31" i="44"/>
  <c r="J30" i="44"/>
  <c r="J27" i="44"/>
  <c r="J26" i="44"/>
  <c r="J23" i="44"/>
  <c r="J22" i="44"/>
  <c r="J21" i="44"/>
  <c r="J20" i="44"/>
  <c r="J17" i="44"/>
  <c r="J16" i="44"/>
  <c r="J15" i="44"/>
  <c r="J14" i="44"/>
  <c r="J13" i="44"/>
  <c r="U34" i="44"/>
  <c r="S27" i="44"/>
  <c r="M49" i="44"/>
  <c r="M48" i="44"/>
  <c r="M47" i="44"/>
  <c r="M46" i="44"/>
  <c r="M45" i="44"/>
  <c r="M44" i="44"/>
  <c r="M43" i="44"/>
  <c r="M42" i="44"/>
  <c r="M41" i="44"/>
  <c r="M38" i="44"/>
  <c r="M37" i="44"/>
  <c r="M36" i="44"/>
  <c r="M33" i="44"/>
  <c r="M32" i="44"/>
  <c r="M31" i="44"/>
  <c r="M30" i="44"/>
  <c r="M27" i="44"/>
  <c r="M26" i="44"/>
  <c r="M23" i="44"/>
  <c r="M22" i="44"/>
  <c r="M21" i="44"/>
  <c r="M20" i="44"/>
  <c r="M17" i="44"/>
  <c r="M16" i="44"/>
  <c r="M15" i="44"/>
  <c r="M14" i="44"/>
  <c r="M13" i="44"/>
  <c r="I49" i="44"/>
  <c r="I48" i="44"/>
  <c r="K48" i="44" s="1"/>
  <c r="I47" i="44"/>
  <c r="I46" i="44"/>
  <c r="I45" i="44"/>
  <c r="I44" i="44"/>
  <c r="I43" i="44"/>
  <c r="I42" i="44"/>
  <c r="I41" i="44"/>
  <c r="I38" i="44"/>
  <c r="I37" i="44"/>
  <c r="I36" i="44"/>
  <c r="I33" i="44"/>
  <c r="I32" i="44"/>
  <c r="I31" i="44"/>
  <c r="I30" i="44"/>
  <c r="I27" i="44"/>
  <c r="I26" i="44"/>
  <c r="I23" i="44"/>
  <c r="I22" i="44"/>
  <c r="I21" i="44"/>
  <c r="I20" i="44"/>
  <c r="I17" i="44"/>
  <c r="I16" i="44"/>
  <c r="I15" i="44"/>
  <c r="I14" i="44"/>
  <c r="I13" i="44"/>
  <c r="D11" i="66"/>
  <c r="F10" i="66"/>
  <c r="F9" i="66"/>
  <c r="D9" i="66"/>
  <c r="D16" i="66"/>
  <c r="Q27" i="14"/>
  <c r="Q26" i="14"/>
  <c r="Q25" i="14"/>
  <c r="Q24" i="14"/>
  <c r="Q28" i="14"/>
  <c r="Q32" i="14"/>
  <c r="Q21" i="14"/>
  <c r="Q19" i="14"/>
  <c r="Q13" i="14"/>
  <c r="Q12" i="14"/>
  <c r="Q11" i="14"/>
  <c r="Q22" i="14"/>
  <c r="I21" i="3"/>
  <c r="I20" i="3"/>
  <c r="I23" i="3"/>
  <c r="I22" i="3"/>
  <c r="I16" i="3"/>
  <c r="I15" i="3"/>
  <c r="I14" i="3"/>
  <c r="I13" i="3"/>
  <c r="R23" i="3"/>
  <c r="R22" i="3"/>
  <c r="R21" i="3"/>
  <c r="R20" i="3"/>
  <c r="R24" i="3"/>
  <c r="R16" i="3"/>
  <c r="R15" i="3"/>
  <c r="R14" i="3"/>
  <c r="R13" i="3"/>
  <c r="R18" i="3"/>
  <c r="Q24" i="3"/>
  <c r="Q18" i="3"/>
  <c r="I45" i="3"/>
  <c r="H12" i="45"/>
  <c r="L28" i="13"/>
  <c r="L27" i="13"/>
  <c r="L26" i="13"/>
  <c r="L25" i="13"/>
  <c r="K32" i="13"/>
  <c r="J32" i="13"/>
  <c r="I32" i="13"/>
  <c r="H32" i="13"/>
  <c r="G32" i="13"/>
  <c r="F32" i="13"/>
  <c r="E32" i="13"/>
  <c r="D32" i="13"/>
  <c r="I44" i="3"/>
  <c r="I43" i="3"/>
  <c r="I42" i="3"/>
  <c r="I41" i="3"/>
  <c r="I40" i="3"/>
  <c r="I39" i="3"/>
  <c r="I38" i="3"/>
  <c r="I37" i="3"/>
  <c r="I34" i="3"/>
  <c r="I33" i="3"/>
  <c r="I32" i="3"/>
  <c r="I29" i="3"/>
  <c r="M28" i="13"/>
  <c r="I28" i="3"/>
  <c r="M27" i="13"/>
  <c r="I27" i="3"/>
  <c r="M26" i="13"/>
  <c r="I26" i="3"/>
  <c r="M25" i="13"/>
  <c r="I17" i="3"/>
  <c r="H45" i="3"/>
  <c r="H44" i="3"/>
  <c r="H43" i="3"/>
  <c r="H42" i="3"/>
  <c r="H41" i="3"/>
  <c r="H40" i="3"/>
  <c r="H39" i="3"/>
  <c r="H38" i="3"/>
  <c r="H46" i="3"/>
  <c r="H37" i="3"/>
  <c r="H34" i="3"/>
  <c r="H33" i="3"/>
  <c r="H32" i="3"/>
  <c r="H30" i="3"/>
  <c r="H27" i="3"/>
  <c r="H23" i="3"/>
  <c r="H22" i="3"/>
  <c r="H21" i="3"/>
  <c r="H20" i="3"/>
  <c r="H17" i="3"/>
  <c r="H16" i="3"/>
  <c r="H15" i="3"/>
  <c r="H14" i="3"/>
  <c r="H13" i="3"/>
  <c r="H18" i="3"/>
  <c r="H47" i="3"/>
  <c r="E49" i="3"/>
  <c r="E46" i="3"/>
  <c r="E35" i="3"/>
  <c r="E29" i="3"/>
  <c r="E28" i="3"/>
  <c r="E30" i="3"/>
  <c r="E23" i="3"/>
  <c r="E22" i="3"/>
  <c r="E21" i="3"/>
  <c r="E20" i="3"/>
  <c r="E24" i="3"/>
  <c r="E48" i="3"/>
  <c r="E16" i="3"/>
  <c r="E15" i="3"/>
  <c r="E14" i="3"/>
  <c r="E13" i="3"/>
  <c r="E18" i="3"/>
  <c r="E47" i="3"/>
  <c r="H35" i="3"/>
  <c r="H24" i="3"/>
  <c r="H48" i="3"/>
  <c r="H49" i="3"/>
  <c r="E50" i="3"/>
  <c r="H50" i="3"/>
  <c r="H54" i="3" s="1"/>
  <c r="H55" i="3" s="1"/>
  <c r="H52" i="3"/>
  <c r="E57" i="3"/>
  <c r="E54" i="3"/>
  <c r="E55" i="3" s="1"/>
  <c r="E52" i="3"/>
  <c r="H11" i="45"/>
  <c r="C12" i="45"/>
  <c r="C10" i="45"/>
  <c r="G31" i="78"/>
  <c r="G32" i="78"/>
  <c r="G34" i="78"/>
  <c r="G35" i="78"/>
  <c r="G37" i="78"/>
  <c r="E38" i="53"/>
  <c r="I33" i="53" s="1"/>
  <c r="L22" i="28"/>
  <c r="J22" i="28"/>
  <c r="I22" i="28"/>
  <c r="H22" i="28"/>
  <c r="G22" i="28"/>
  <c r="L22" i="14"/>
  <c r="J22" i="14"/>
  <c r="I22" i="14"/>
  <c r="H22" i="14"/>
  <c r="G22" i="14"/>
  <c r="L23" i="27"/>
  <c r="J23" i="27"/>
  <c r="I23" i="27"/>
  <c r="H23" i="27"/>
  <c r="G23" i="27"/>
  <c r="L29" i="27"/>
  <c r="K29" i="27"/>
  <c r="J29" i="27"/>
  <c r="H29" i="27"/>
  <c r="G29" i="27"/>
  <c r="F29" i="27"/>
  <c r="E29" i="27"/>
  <c r="D29" i="27"/>
  <c r="I22" i="42"/>
  <c r="H22" i="42"/>
  <c r="G22" i="42"/>
  <c r="J14" i="42"/>
  <c r="I14" i="42"/>
  <c r="H14" i="42"/>
  <c r="G14" i="42"/>
  <c r="F14" i="42"/>
  <c r="J13" i="42"/>
  <c r="I13" i="42"/>
  <c r="H13" i="42"/>
  <c r="G13" i="42"/>
  <c r="F13" i="42"/>
  <c r="I21" i="43"/>
  <c r="H21" i="43"/>
  <c r="G21" i="43"/>
  <c r="F13" i="43"/>
  <c r="F12" i="43"/>
  <c r="J13" i="43"/>
  <c r="I13" i="43"/>
  <c r="H13" i="43"/>
  <c r="G13" i="43"/>
  <c r="J12" i="43"/>
  <c r="I12" i="43"/>
  <c r="H12" i="43"/>
  <c r="G12" i="43"/>
  <c r="L28" i="28"/>
  <c r="L31" i="28"/>
  <c r="K28" i="28"/>
  <c r="J28" i="28"/>
  <c r="I28" i="28"/>
  <c r="H28" i="28"/>
  <c r="G28" i="28"/>
  <c r="F28" i="28"/>
  <c r="E28" i="28"/>
  <c r="D28" i="28"/>
  <c r="K28" i="14"/>
  <c r="J28" i="14"/>
  <c r="I28" i="14"/>
  <c r="H28" i="14"/>
  <c r="G28" i="14"/>
  <c r="F28" i="14"/>
  <c r="E28" i="14"/>
  <c r="D28" i="14"/>
  <c r="L30" i="28"/>
  <c r="L32" i="28"/>
  <c r="L28" i="14"/>
  <c r="L31" i="14"/>
  <c r="L30" i="14"/>
  <c r="L32" i="14"/>
  <c r="Q33" i="14"/>
  <c r="J23" i="13"/>
  <c r="I23" i="13"/>
  <c r="H23" i="13"/>
  <c r="G23" i="13"/>
  <c r="F23" i="13"/>
  <c r="E23" i="13"/>
  <c r="D23" i="13"/>
  <c r="D34" i="66"/>
  <c r="F34" i="66"/>
  <c r="J63" i="77"/>
  <c r="J63" i="76"/>
  <c r="J63" i="75"/>
  <c r="M21" i="3"/>
  <c r="J21" i="3"/>
  <c r="M45" i="3"/>
  <c r="K45" i="3"/>
  <c r="F9" i="70"/>
  <c r="D9" i="70"/>
  <c r="D9" i="68"/>
  <c r="G27" i="44"/>
  <c r="G26" i="44"/>
  <c r="T28" i="44"/>
  <c r="P28" i="44"/>
  <c r="L28" i="44"/>
  <c r="H28" i="44"/>
  <c r="F28" i="44"/>
  <c r="E28" i="44"/>
  <c r="D28" i="44"/>
  <c r="G28" i="44"/>
  <c r="F33" i="44"/>
  <c r="E33" i="44"/>
  <c r="F32" i="44"/>
  <c r="E32" i="44"/>
  <c r="E31" i="44"/>
  <c r="F31" i="44"/>
  <c r="F30" i="44"/>
  <c r="E30" i="44"/>
  <c r="M41" i="3"/>
  <c r="K41" i="3"/>
  <c r="I23" i="70"/>
  <c r="I23" i="68"/>
  <c r="I23" i="66"/>
  <c r="D37" i="70"/>
  <c r="D32" i="70"/>
  <c r="D29" i="70"/>
  <c r="D24" i="70"/>
  <c r="D23" i="70"/>
  <c r="D22" i="70"/>
  <c r="D21" i="70"/>
  <c r="D18" i="70"/>
  <c r="D17" i="70"/>
  <c r="D16" i="70"/>
  <c r="D15" i="70"/>
  <c r="D11" i="70"/>
  <c r="D10" i="70"/>
  <c r="D8" i="70"/>
  <c r="F39" i="70"/>
  <c r="L39" i="70" s="1"/>
  <c r="N39" i="70" s="1"/>
  <c r="F36" i="70"/>
  <c r="L36" i="70" s="1"/>
  <c r="N36" i="70" s="1"/>
  <c r="I33" i="70"/>
  <c r="F32" i="70"/>
  <c r="I45" i="70"/>
  <c r="H45" i="70"/>
  <c r="E45" i="70"/>
  <c r="H41" i="70"/>
  <c r="E41" i="70"/>
  <c r="G37" i="70"/>
  <c r="K32" i="70"/>
  <c r="K45" i="70"/>
  <c r="J32" i="70"/>
  <c r="G32" i="70"/>
  <c r="K30" i="70"/>
  <c r="I30" i="70"/>
  <c r="H30" i="70"/>
  <c r="G30" i="70"/>
  <c r="E30" i="70"/>
  <c r="H25" i="70"/>
  <c r="E25" i="70"/>
  <c r="G24" i="70"/>
  <c r="G25" i="70"/>
  <c r="J23" i="70"/>
  <c r="I25" i="70"/>
  <c r="K21" i="70"/>
  <c r="K25" i="70"/>
  <c r="J21" i="70"/>
  <c r="J19" i="70"/>
  <c r="I19" i="70"/>
  <c r="E19" i="70"/>
  <c r="E44" i="70"/>
  <c r="K18" i="70"/>
  <c r="K19" i="70"/>
  <c r="F18" i="70"/>
  <c r="F16" i="70"/>
  <c r="G15" i="70"/>
  <c r="G19" i="70"/>
  <c r="F15" i="70"/>
  <c r="K13" i="70"/>
  <c r="E13" i="70"/>
  <c r="E43" i="70"/>
  <c r="J11" i="70"/>
  <c r="J13" i="70"/>
  <c r="I11" i="70"/>
  <c r="G11" i="70"/>
  <c r="F11" i="70"/>
  <c r="I10" i="70"/>
  <c r="F10" i="70"/>
  <c r="G9" i="70"/>
  <c r="G13" i="70"/>
  <c r="D37" i="68"/>
  <c r="D32" i="68"/>
  <c r="D29" i="68"/>
  <c r="D24" i="68"/>
  <c r="D23" i="68"/>
  <c r="D22" i="68"/>
  <c r="D21" i="68"/>
  <c r="G24" i="68"/>
  <c r="J23" i="68"/>
  <c r="K21" i="68"/>
  <c r="J21" i="68"/>
  <c r="G24" i="66"/>
  <c r="J23" i="66"/>
  <c r="K21" i="66"/>
  <c r="J21" i="66"/>
  <c r="D22" i="66"/>
  <c r="D21" i="66"/>
  <c r="D24" i="66"/>
  <c r="D23" i="66"/>
  <c r="D18" i="68"/>
  <c r="D17" i="68"/>
  <c r="D16" i="68"/>
  <c r="D15" i="68"/>
  <c r="D11" i="68"/>
  <c r="D10" i="68"/>
  <c r="K43" i="70"/>
  <c r="K44" i="70"/>
  <c r="J25" i="70"/>
  <c r="G44" i="70"/>
  <c r="G43" i="70"/>
  <c r="F19" i="70"/>
  <c r="D13" i="70"/>
  <c r="D43" i="70"/>
  <c r="E46" i="70"/>
  <c r="C36" i="71" s="1"/>
  <c r="D19" i="70"/>
  <c r="D44" i="70"/>
  <c r="F21" i="70"/>
  <c r="L21" i="70" s="1"/>
  <c r="D25" i="70"/>
  <c r="F29" i="70"/>
  <c r="L29" i="70" s="1"/>
  <c r="N29" i="70" s="1"/>
  <c r="D30" i="70"/>
  <c r="I13" i="70"/>
  <c r="K41" i="70"/>
  <c r="K46" i="70"/>
  <c r="C41" i="71"/>
  <c r="F21" i="68"/>
  <c r="L21" i="68" s="1"/>
  <c r="O21" i="68" s="1"/>
  <c r="I45" i="68"/>
  <c r="H45" i="68"/>
  <c r="E45" i="68"/>
  <c r="H41" i="68"/>
  <c r="E41" i="68"/>
  <c r="G37" i="68"/>
  <c r="K32" i="68"/>
  <c r="K45" i="68"/>
  <c r="J32" i="68"/>
  <c r="G32" i="68"/>
  <c r="D41" i="68"/>
  <c r="K30" i="68"/>
  <c r="I30" i="68"/>
  <c r="H30" i="68"/>
  <c r="G30" i="68"/>
  <c r="E30" i="68"/>
  <c r="K25" i="68"/>
  <c r="J25" i="68"/>
  <c r="I25" i="68"/>
  <c r="H25" i="68"/>
  <c r="G25" i="68"/>
  <c r="E25" i="68"/>
  <c r="J19" i="68"/>
  <c r="I19" i="68"/>
  <c r="E19" i="68"/>
  <c r="E44" i="68"/>
  <c r="K18" i="68"/>
  <c r="K19" i="68"/>
  <c r="K44" i="68"/>
  <c r="G15" i="68"/>
  <c r="G19" i="68"/>
  <c r="G44" i="68"/>
  <c r="D19" i="68"/>
  <c r="D44" i="68"/>
  <c r="K13" i="68"/>
  <c r="K43" i="68"/>
  <c r="E13" i="68"/>
  <c r="E43" i="68"/>
  <c r="J11" i="68"/>
  <c r="J13" i="68"/>
  <c r="I11" i="68"/>
  <c r="G11" i="68"/>
  <c r="I10" i="68"/>
  <c r="G9" i="68"/>
  <c r="I13" i="68"/>
  <c r="E46" i="68"/>
  <c r="C36" i="69"/>
  <c r="K46" i="68"/>
  <c r="C41" i="69" s="1"/>
  <c r="F19" i="68"/>
  <c r="G13" i="68"/>
  <c r="G43" i="68"/>
  <c r="D45" i="68"/>
  <c r="D25" i="68"/>
  <c r="D30" i="68"/>
  <c r="K41" i="68"/>
  <c r="D13" i="68"/>
  <c r="D43" i="68" s="1"/>
  <c r="K32" i="66"/>
  <c r="J32" i="66"/>
  <c r="I10" i="66"/>
  <c r="G9" i="66"/>
  <c r="G11" i="66"/>
  <c r="D32" i="66"/>
  <c r="F18" i="66"/>
  <c r="F16" i="66"/>
  <c r="F15" i="66"/>
  <c r="F11" i="66"/>
  <c r="D15" i="66"/>
  <c r="D8" i="66"/>
  <c r="I11" i="66"/>
  <c r="D37" i="66"/>
  <c r="D29" i="66"/>
  <c r="D30" i="66"/>
  <c r="D18" i="66"/>
  <c r="D17" i="66"/>
  <c r="D10" i="66"/>
  <c r="M24" i="66"/>
  <c r="F24" i="66" s="1"/>
  <c r="L24" i="66" s="1"/>
  <c r="M23" i="66"/>
  <c r="F23" i="66" s="1"/>
  <c r="L23" i="66" s="1"/>
  <c r="N23" i="66" s="1"/>
  <c r="M21" i="66"/>
  <c r="F21" i="66" s="1"/>
  <c r="L21" i="66" s="1"/>
  <c r="N21" i="66" s="1"/>
  <c r="K45" i="66"/>
  <c r="I45" i="66"/>
  <c r="H45" i="66"/>
  <c r="E45" i="66"/>
  <c r="K41" i="66"/>
  <c r="H41" i="66"/>
  <c r="E41" i="66"/>
  <c r="G37" i="66"/>
  <c r="G32" i="66"/>
  <c r="K30" i="66"/>
  <c r="I30" i="66"/>
  <c r="H30" i="66"/>
  <c r="G30" i="66"/>
  <c r="E30" i="66"/>
  <c r="K25" i="66"/>
  <c r="J25" i="66"/>
  <c r="I25" i="66"/>
  <c r="H25" i="66"/>
  <c r="G25" i="66"/>
  <c r="E25" i="66"/>
  <c r="J19" i="66"/>
  <c r="I19" i="66"/>
  <c r="F19" i="66"/>
  <c r="E19" i="66"/>
  <c r="E44" i="66"/>
  <c r="K18" i="66"/>
  <c r="K19" i="66"/>
  <c r="K44" i="66"/>
  <c r="G15" i="66"/>
  <c r="K13" i="66"/>
  <c r="K43" i="66"/>
  <c r="E13" i="66"/>
  <c r="E43" i="66"/>
  <c r="J11" i="66"/>
  <c r="J13" i="66"/>
  <c r="G13" i="66"/>
  <c r="G43" i="66"/>
  <c r="D19" i="66"/>
  <c r="D44" i="66"/>
  <c r="E46" i="66"/>
  <c r="C36" i="67"/>
  <c r="D41" i="66"/>
  <c r="D13" i="66"/>
  <c r="D43" i="66"/>
  <c r="D45" i="66"/>
  <c r="D25" i="66"/>
  <c r="G19" i="66"/>
  <c r="G44" i="66"/>
  <c r="I13" i="66"/>
  <c r="K46" i="66"/>
  <c r="C41" i="67"/>
  <c r="G24" i="51"/>
  <c r="D46" i="66"/>
  <c r="J19" i="51"/>
  <c r="J44" i="51"/>
  <c r="I19" i="51"/>
  <c r="F19" i="51"/>
  <c r="E19" i="51"/>
  <c r="E44" i="51"/>
  <c r="D19" i="51"/>
  <c r="D44" i="51"/>
  <c r="N24" i="66"/>
  <c r="H16" i="70"/>
  <c r="L16" i="70" s="1"/>
  <c r="N16" i="70" s="1"/>
  <c r="M20" i="3"/>
  <c r="H16" i="68"/>
  <c r="K20" i="3"/>
  <c r="M16" i="66"/>
  <c r="H16" i="66"/>
  <c r="L16" i="66" s="1"/>
  <c r="N16" i="66" s="1"/>
  <c r="M23" i="3"/>
  <c r="M15" i="3"/>
  <c r="K15" i="3"/>
  <c r="M10" i="66"/>
  <c r="M15" i="66"/>
  <c r="C61" i="75"/>
  <c r="H15" i="70"/>
  <c r="M18" i="66"/>
  <c r="H18" i="66" s="1"/>
  <c r="L18" i="66" s="1"/>
  <c r="N18" i="66" s="1"/>
  <c r="C56" i="75"/>
  <c r="H15" i="68"/>
  <c r="M29" i="3"/>
  <c r="K29" i="3"/>
  <c r="G29" i="3"/>
  <c r="M28" i="3"/>
  <c r="K28" i="3"/>
  <c r="G28" i="3"/>
  <c r="M27" i="3"/>
  <c r="K27" i="3"/>
  <c r="M22" i="66"/>
  <c r="F22" i="66" s="1"/>
  <c r="N32" i="13"/>
  <c r="F24" i="70"/>
  <c r="L24" i="70" s="1"/>
  <c r="N24" i="70" s="1"/>
  <c r="F22" i="70"/>
  <c r="L22" i="70" s="1"/>
  <c r="N22" i="70" s="1"/>
  <c r="F23" i="68"/>
  <c r="F22" i="68"/>
  <c r="L22" i="68" s="1"/>
  <c r="J40" i="68"/>
  <c r="J45" i="68" s="1"/>
  <c r="M40" i="66"/>
  <c r="J40" i="66" s="1"/>
  <c r="M43" i="3"/>
  <c r="K43" i="3"/>
  <c r="M38" i="66"/>
  <c r="F38" i="66" s="1"/>
  <c r="L38" i="66" s="1"/>
  <c r="N38" i="66" s="1"/>
  <c r="F38" i="68"/>
  <c r="L38" i="68" s="1"/>
  <c r="M14" i="3"/>
  <c r="K14" i="3"/>
  <c r="M12" i="13"/>
  <c r="M40" i="3"/>
  <c r="F35" i="70"/>
  <c r="L35" i="70" s="1"/>
  <c r="N35" i="70" s="1"/>
  <c r="K40" i="3"/>
  <c r="M35" i="66"/>
  <c r="M9" i="66"/>
  <c r="H9" i="66"/>
  <c r="C41" i="75"/>
  <c r="F35" i="68"/>
  <c r="L35" i="68" s="1"/>
  <c r="O35" i="68" s="1"/>
  <c r="H9" i="68"/>
  <c r="F35" i="66"/>
  <c r="L35" i="66" s="1"/>
  <c r="N35" i="66" s="1"/>
  <c r="M13" i="3"/>
  <c r="K13" i="3"/>
  <c r="M8" i="66"/>
  <c r="H8" i="66" s="1"/>
  <c r="L8" i="66" s="1"/>
  <c r="N8" i="66" s="1"/>
  <c r="H8" i="70"/>
  <c r="L8" i="70" s="1"/>
  <c r="K44" i="3"/>
  <c r="K42" i="3"/>
  <c r="F36" i="68"/>
  <c r="L36" i="68" s="1"/>
  <c r="M39" i="3"/>
  <c r="K39" i="3"/>
  <c r="K38" i="3"/>
  <c r="K37" i="3"/>
  <c r="K34" i="3"/>
  <c r="K33" i="3"/>
  <c r="K32" i="3"/>
  <c r="N41" i="13"/>
  <c r="M22" i="3"/>
  <c r="H17" i="70"/>
  <c r="L17" i="70" s="1"/>
  <c r="N17" i="70" s="1"/>
  <c r="M16" i="3"/>
  <c r="K16" i="3"/>
  <c r="M39" i="66"/>
  <c r="F39" i="66" s="1"/>
  <c r="L39" i="66" s="1"/>
  <c r="N39" i="66" s="1"/>
  <c r="M37" i="66"/>
  <c r="F37" i="66" s="1"/>
  <c r="L37" i="66" s="1"/>
  <c r="N37" i="66" s="1"/>
  <c r="M36" i="66"/>
  <c r="F36" i="66" s="1"/>
  <c r="M34" i="66"/>
  <c r="G34" i="66" s="1"/>
  <c r="G45" i="66" s="1"/>
  <c r="M33" i="66"/>
  <c r="M32" i="66"/>
  <c r="M29" i="66"/>
  <c r="F29" i="66"/>
  <c r="L29" i="66" s="1"/>
  <c r="N29" i="66" s="1"/>
  <c r="M28" i="66"/>
  <c r="M27" i="66"/>
  <c r="M17" i="3"/>
  <c r="K17" i="3"/>
  <c r="M17" i="66"/>
  <c r="H17" i="66" s="1"/>
  <c r="L17" i="66" s="1"/>
  <c r="N17" i="66" s="1"/>
  <c r="M12" i="66"/>
  <c r="F12" i="66" s="1"/>
  <c r="C42" i="75"/>
  <c r="F32" i="68"/>
  <c r="L32" i="68" s="1"/>
  <c r="F37" i="68"/>
  <c r="J28" i="68"/>
  <c r="L28" i="68" s="1"/>
  <c r="S43" i="44"/>
  <c r="H17" i="68"/>
  <c r="F29" i="68"/>
  <c r="L36" i="66"/>
  <c r="C30" i="63"/>
  <c r="M11" i="66"/>
  <c r="H11" i="66" s="1"/>
  <c r="L11" i="66" s="1"/>
  <c r="N11" i="66" s="1"/>
  <c r="K46" i="3"/>
  <c r="K49" i="3"/>
  <c r="K35" i="3"/>
  <c r="K30" i="3"/>
  <c r="J45" i="3"/>
  <c r="J41" i="3"/>
  <c r="J39" i="3"/>
  <c r="J35" i="3"/>
  <c r="J23" i="3"/>
  <c r="J22" i="3"/>
  <c r="J20" i="3"/>
  <c r="J16" i="3"/>
  <c r="J15" i="3"/>
  <c r="J14" i="3"/>
  <c r="J13" i="3"/>
  <c r="G45" i="3"/>
  <c r="G41" i="3"/>
  <c r="G39" i="3"/>
  <c r="G35" i="3"/>
  <c r="G21" i="3"/>
  <c r="G24" i="3"/>
  <c r="G48" i="3"/>
  <c r="G18" i="3"/>
  <c r="G47" i="3"/>
  <c r="P54" i="44"/>
  <c r="M45" i="68"/>
  <c r="J46" i="3"/>
  <c r="G46" i="3"/>
  <c r="G30" i="3"/>
  <c r="J18" i="3"/>
  <c r="J47" i="3" s="1"/>
  <c r="J50" i="3" s="1"/>
  <c r="J30" i="3"/>
  <c r="G49" i="3"/>
  <c r="G50" i="3"/>
  <c r="G54" i="3" s="1"/>
  <c r="G55" i="3" s="1"/>
  <c r="J24" i="3"/>
  <c r="J48" i="3"/>
  <c r="K18" i="3"/>
  <c r="K24" i="3"/>
  <c r="J49" i="3"/>
  <c r="K47" i="3"/>
  <c r="M43" i="68" s="1"/>
  <c r="G57" i="3"/>
  <c r="D24" i="3"/>
  <c r="D48" i="3"/>
  <c r="I17" i="45"/>
  <c r="J17" i="45"/>
  <c r="K17" i="45"/>
  <c r="D17" i="45"/>
  <c r="E17" i="45"/>
  <c r="F17" i="45"/>
  <c r="J40" i="53"/>
  <c r="J28" i="53"/>
  <c r="J55" i="53"/>
  <c r="J46" i="53"/>
  <c r="F49" i="44"/>
  <c r="F48" i="44"/>
  <c r="F47" i="44"/>
  <c r="F46" i="44"/>
  <c r="F45" i="44"/>
  <c r="F44" i="44"/>
  <c r="F43" i="44"/>
  <c r="F42" i="44"/>
  <c r="F41" i="44"/>
  <c r="F38" i="44"/>
  <c r="F37" i="44"/>
  <c r="F36" i="44"/>
  <c r="F23" i="44"/>
  <c r="F22" i="44"/>
  <c r="F21" i="44"/>
  <c r="F20" i="44"/>
  <c r="F17" i="44"/>
  <c r="F16" i="44"/>
  <c r="F15" i="44"/>
  <c r="F14" i="44"/>
  <c r="F13" i="44"/>
  <c r="E49" i="44"/>
  <c r="E48" i="44"/>
  <c r="E47" i="44"/>
  <c r="E46" i="44"/>
  <c r="E45" i="44"/>
  <c r="E44" i="44"/>
  <c r="E43" i="44"/>
  <c r="E42" i="44"/>
  <c r="E41" i="44"/>
  <c r="E38" i="44"/>
  <c r="E37" i="44"/>
  <c r="E36" i="44"/>
  <c r="E23" i="44"/>
  <c r="E22" i="44"/>
  <c r="E21" i="44"/>
  <c r="E20" i="44"/>
  <c r="E17" i="44"/>
  <c r="E16" i="44"/>
  <c r="E15" i="44"/>
  <c r="E14" i="44"/>
  <c r="E13" i="44"/>
  <c r="I42" i="53"/>
  <c r="E53" i="53"/>
  <c r="I48" i="53" s="1"/>
  <c r="C61" i="53"/>
  <c r="F24" i="3"/>
  <c r="F48" i="3"/>
  <c r="I10" i="51"/>
  <c r="I11" i="44"/>
  <c r="J11" i="44"/>
  <c r="K11" i="44"/>
  <c r="M11" i="44"/>
  <c r="N11" i="44" s="1"/>
  <c r="O11" i="44" s="1"/>
  <c r="T11" i="44" s="1"/>
  <c r="U11" i="44" s="1"/>
  <c r="V11" i="44" s="1"/>
  <c r="W11" i="44" s="1"/>
  <c r="C41" i="53"/>
  <c r="I24" i="3"/>
  <c r="C46" i="75"/>
  <c r="I48" i="3"/>
  <c r="M19" i="66"/>
  <c r="L49" i="44"/>
  <c r="L48" i="44"/>
  <c r="L47" i="44"/>
  <c r="L46" i="44"/>
  <c r="L45" i="44"/>
  <c r="L44" i="44"/>
  <c r="L43" i="44"/>
  <c r="L42" i="44"/>
  <c r="L41" i="44"/>
  <c r="L38" i="44"/>
  <c r="L37" i="44"/>
  <c r="L36" i="44"/>
  <c r="L39" i="44" s="1"/>
  <c r="L33" i="44"/>
  <c r="L32" i="44"/>
  <c r="L31" i="44"/>
  <c r="L30" i="44"/>
  <c r="L23" i="44"/>
  <c r="L22" i="44"/>
  <c r="L21" i="44"/>
  <c r="L20" i="44"/>
  <c r="L17" i="44"/>
  <c r="L16" i="44"/>
  <c r="L15" i="44"/>
  <c r="L14" i="44"/>
  <c r="L13" i="44"/>
  <c r="C34" i="63"/>
  <c r="C35" i="63" s="1"/>
  <c r="M44" i="66"/>
  <c r="M51" i="13"/>
  <c r="M50" i="13"/>
  <c r="M49" i="13"/>
  <c r="M48" i="13"/>
  <c r="M47" i="13"/>
  <c r="M46" i="13"/>
  <c r="M45" i="13"/>
  <c r="M44" i="13"/>
  <c r="M43" i="13"/>
  <c r="M36" i="13"/>
  <c r="M35" i="13"/>
  <c r="M34" i="13"/>
  <c r="M22" i="13"/>
  <c r="M21" i="13"/>
  <c r="M20" i="13"/>
  <c r="M19" i="13"/>
  <c r="M16" i="13"/>
  <c r="M14" i="13"/>
  <c r="M13" i="13"/>
  <c r="M11" i="13"/>
  <c r="G37" i="51"/>
  <c r="G32" i="51"/>
  <c r="M24" i="3"/>
  <c r="I49" i="3"/>
  <c r="I46" i="3"/>
  <c r="M41" i="66"/>
  <c r="I35" i="3"/>
  <c r="M30" i="66"/>
  <c r="I30" i="3"/>
  <c r="M25" i="66"/>
  <c r="I18" i="3"/>
  <c r="C28" i="75" s="1"/>
  <c r="M48" i="3"/>
  <c r="C40" i="63"/>
  <c r="C41" i="63"/>
  <c r="M45" i="66"/>
  <c r="E14" i="45"/>
  <c r="D14" i="45"/>
  <c r="C14" i="45"/>
  <c r="F13" i="45"/>
  <c r="F12" i="45"/>
  <c r="F11" i="45"/>
  <c r="F10" i="45"/>
  <c r="M44" i="70"/>
  <c r="F14" i="45"/>
  <c r="H38" i="44"/>
  <c r="H41" i="44"/>
  <c r="K41" i="44" s="1"/>
  <c r="H43" i="44"/>
  <c r="H44" i="44"/>
  <c r="H45" i="44"/>
  <c r="H46" i="44"/>
  <c r="H47" i="44"/>
  <c r="H48" i="44"/>
  <c r="H49" i="44"/>
  <c r="H13" i="44"/>
  <c r="H14" i="44"/>
  <c r="H15" i="44"/>
  <c r="H16" i="44"/>
  <c r="H17" i="44"/>
  <c r="H30" i="44"/>
  <c r="H32" i="44"/>
  <c r="H31" i="44"/>
  <c r="H33" i="44"/>
  <c r="H36" i="44"/>
  <c r="H42" i="44"/>
  <c r="H23" i="44"/>
  <c r="H21" i="44"/>
  <c r="H22" i="44"/>
  <c r="H37" i="44"/>
  <c r="C30" i="55"/>
  <c r="C30" i="61" s="1"/>
  <c r="D38" i="44"/>
  <c r="D41" i="44"/>
  <c r="D43" i="44"/>
  <c r="D44" i="44"/>
  <c r="D45" i="44"/>
  <c r="D46" i="44"/>
  <c r="D47" i="44"/>
  <c r="D48" i="44"/>
  <c r="D49" i="44"/>
  <c r="D13" i="44"/>
  <c r="D14" i="44"/>
  <c r="D15" i="44"/>
  <c r="D16" i="44"/>
  <c r="D17" i="44"/>
  <c r="D30" i="44"/>
  <c r="D32" i="44"/>
  <c r="D31" i="44"/>
  <c r="D33" i="44"/>
  <c r="D36" i="44"/>
  <c r="D42" i="44"/>
  <c r="D23" i="44"/>
  <c r="D22" i="44"/>
  <c r="D20" i="44"/>
  <c r="D37" i="44"/>
  <c r="K22" i="27"/>
  <c r="K23" i="27" s="1"/>
  <c r="K31" i="27" s="1"/>
  <c r="K33" i="27" s="1"/>
  <c r="K21" i="28"/>
  <c r="K22" i="28" s="1"/>
  <c r="K21" i="14"/>
  <c r="K22" i="14" s="1"/>
  <c r="J22" i="43" s="1"/>
  <c r="J30" i="43" s="1"/>
  <c r="M49" i="3"/>
  <c r="F49" i="3"/>
  <c r="M45" i="51" s="1"/>
  <c r="L43" i="13"/>
  <c r="F30" i="3"/>
  <c r="M25" i="51"/>
  <c r="K18" i="51"/>
  <c r="K19" i="51"/>
  <c r="K44" i="51"/>
  <c r="G15" i="51"/>
  <c r="G19" i="51"/>
  <c r="G44" i="51"/>
  <c r="J11" i="51"/>
  <c r="J13" i="51"/>
  <c r="J43" i="51"/>
  <c r="I11" i="51"/>
  <c r="I13" i="51"/>
  <c r="G11" i="51"/>
  <c r="G9" i="51"/>
  <c r="W23" i="44"/>
  <c r="L11" i="13"/>
  <c r="I12" i="42"/>
  <c r="I28" i="42"/>
  <c r="I27" i="42"/>
  <c r="M30" i="3"/>
  <c r="K10" i="45"/>
  <c r="F21" i="45"/>
  <c r="E22" i="45"/>
  <c r="D22" i="45"/>
  <c r="C22" i="45"/>
  <c r="J56" i="13"/>
  <c r="H14" i="45"/>
  <c r="I14" i="45"/>
  <c r="H19" i="43"/>
  <c r="I30" i="14"/>
  <c r="K13" i="45"/>
  <c r="K12" i="45"/>
  <c r="K11" i="45"/>
  <c r="D41" i="51"/>
  <c r="D30" i="51"/>
  <c r="L50" i="13"/>
  <c r="M39" i="51"/>
  <c r="F39" i="51" s="1"/>
  <c r="L39" i="51" s="1"/>
  <c r="L47" i="13"/>
  <c r="K45" i="51"/>
  <c r="I45" i="51"/>
  <c r="H45" i="51"/>
  <c r="G45" i="51"/>
  <c r="E45" i="51"/>
  <c r="K41" i="51"/>
  <c r="H41" i="51"/>
  <c r="G41" i="51"/>
  <c r="E41" i="51"/>
  <c r="K30" i="51"/>
  <c r="J30" i="51"/>
  <c r="I30" i="51"/>
  <c r="H30" i="51"/>
  <c r="G30" i="51"/>
  <c r="E30" i="51"/>
  <c r="K25" i="51"/>
  <c r="J25" i="51"/>
  <c r="I25" i="51"/>
  <c r="H25" i="51"/>
  <c r="G25" i="51"/>
  <c r="E25" i="51"/>
  <c r="E13" i="51"/>
  <c r="E43" i="51"/>
  <c r="K13" i="51"/>
  <c r="K43" i="51"/>
  <c r="J22" i="45"/>
  <c r="I22" i="45"/>
  <c r="J14" i="45"/>
  <c r="I26" i="27"/>
  <c r="I29" i="27" s="1"/>
  <c r="I32" i="27" s="1"/>
  <c r="I33" i="27" s="1"/>
  <c r="M40" i="51"/>
  <c r="J40" i="51" s="1"/>
  <c r="L51" i="13"/>
  <c r="H31" i="27"/>
  <c r="F17" i="13"/>
  <c r="F54" i="13"/>
  <c r="F56" i="13"/>
  <c r="F41" i="13"/>
  <c r="E17" i="13"/>
  <c r="D17" i="13"/>
  <c r="D54" i="13"/>
  <c r="K21" i="45"/>
  <c r="F17" i="27"/>
  <c r="F13" i="27"/>
  <c r="F16" i="28"/>
  <c r="F12" i="28"/>
  <c r="F16" i="14"/>
  <c r="F12" i="14"/>
  <c r="E20" i="43"/>
  <c r="D18" i="14"/>
  <c r="C18" i="43"/>
  <c r="D41" i="13"/>
  <c r="E41" i="13"/>
  <c r="D56" i="13"/>
  <c r="E56" i="13"/>
  <c r="D19" i="27"/>
  <c r="D23" i="27"/>
  <c r="D31" i="27"/>
  <c r="D52" i="13"/>
  <c r="E52" i="13"/>
  <c r="D20" i="43"/>
  <c r="D28" i="42"/>
  <c r="D27" i="42"/>
  <c r="D26" i="42"/>
  <c r="C28" i="42"/>
  <c r="C27" i="42"/>
  <c r="C26" i="42"/>
  <c r="D25" i="42"/>
  <c r="C25" i="42"/>
  <c r="D21" i="42"/>
  <c r="D12" i="42"/>
  <c r="D20" i="42"/>
  <c r="C21" i="42"/>
  <c r="C12" i="42"/>
  <c r="C20" i="42"/>
  <c r="D27" i="43"/>
  <c r="D26" i="43"/>
  <c r="D25" i="43"/>
  <c r="C27" i="43"/>
  <c r="C26" i="43"/>
  <c r="C25" i="43"/>
  <c r="D24" i="43"/>
  <c r="C24" i="43"/>
  <c r="D11" i="43"/>
  <c r="D19" i="43"/>
  <c r="C20" i="43"/>
  <c r="C11" i="43"/>
  <c r="C19" i="43"/>
  <c r="G28" i="42"/>
  <c r="F26" i="43"/>
  <c r="D17" i="28"/>
  <c r="E15" i="28"/>
  <c r="E18" i="28"/>
  <c r="E22" i="28"/>
  <c r="E30" i="28"/>
  <c r="D14" i="28"/>
  <c r="D32" i="27"/>
  <c r="E16" i="27"/>
  <c r="E19" i="27"/>
  <c r="E23" i="27"/>
  <c r="E31" i="27"/>
  <c r="E15" i="14"/>
  <c r="E16" i="14"/>
  <c r="F52" i="13"/>
  <c r="E25" i="43"/>
  <c r="E20" i="42"/>
  <c r="E12" i="42"/>
  <c r="E24" i="43"/>
  <c r="E26" i="43"/>
  <c r="E28" i="42"/>
  <c r="F20" i="42"/>
  <c r="F24" i="43"/>
  <c r="E19" i="43"/>
  <c r="E27" i="43"/>
  <c r="E11" i="43"/>
  <c r="E21" i="42"/>
  <c r="E26" i="42"/>
  <c r="G27" i="42"/>
  <c r="G25" i="43"/>
  <c r="E25" i="42"/>
  <c r="E27" i="42"/>
  <c r="H17" i="13"/>
  <c r="H54" i="13"/>
  <c r="H30" i="14"/>
  <c r="F27" i="43"/>
  <c r="F28" i="42"/>
  <c r="F19" i="43"/>
  <c r="F12" i="42"/>
  <c r="G17" i="13"/>
  <c r="G54" i="13"/>
  <c r="G31" i="27"/>
  <c r="F11" i="43"/>
  <c r="G52" i="13"/>
  <c r="F27" i="42"/>
  <c r="F25" i="43"/>
  <c r="F25" i="42"/>
  <c r="F26" i="42"/>
  <c r="G41" i="13"/>
  <c r="G56" i="13"/>
  <c r="G26" i="43"/>
  <c r="H28" i="42"/>
  <c r="I41" i="13"/>
  <c r="H26" i="42"/>
  <c r="G27" i="43"/>
  <c r="G26" i="42"/>
  <c r="I30" i="28"/>
  <c r="H22" i="45"/>
  <c r="M38" i="51"/>
  <c r="F38" i="51" s="1"/>
  <c r="L38" i="51" s="1"/>
  <c r="L49" i="13"/>
  <c r="H26" i="43"/>
  <c r="H25" i="42"/>
  <c r="H27" i="42"/>
  <c r="H20" i="42"/>
  <c r="G19" i="43"/>
  <c r="G20" i="42"/>
  <c r="I31" i="27"/>
  <c r="G12" i="42"/>
  <c r="G11" i="43"/>
  <c r="G25" i="42"/>
  <c r="G24" i="43"/>
  <c r="H41" i="13"/>
  <c r="H52" i="13"/>
  <c r="H56" i="13"/>
  <c r="M36" i="51"/>
  <c r="F36" i="51" s="1"/>
  <c r="L36" i="51" s="1"/>
  <c r="H27" i="43"/>
  <c r="I56" i="13"/>
  <c r="I52" i="13"/>
  <c r="H12" i="42"/>
  <c r="H11" i="43"/>
  <c r="M28" i="51"/>
  <c r="F28" i="51"/>
  <c r="L28" i="51" s="1"/>
  <c r="N28" i="51" s="1"/>
  <c r="M22" i="51"/>
  <c r="F22" i="51" s="1"/>
  <c r="L22" i="51" s="1"/>
  <c r="N22" i="51" s="1"/>
  <c r="M24" i="51"/>
  <c r="M12" i="51"/>
  <c r="F12" i="51" s="1"/>
  <c r="L16" i="13"/>
  <c r="L45" i="13"/>
  <c r="L46" i="13"/>
  <c r="L48" i="13"/>
  <c r="M32" i="51"/>
  <c r="C42" i="53"/>
  <c r="M34" i="51"/>
  <c r="N34" i="51" s="1"/>
  <c r="L34" i="51"/>
  <c r="M37" i="51"/>
  <c r="F37" i="51" s="1"/>
  <c r="L37" i="51" s="1"/>
  <c r="N37" i="51" s="1"/>
  <c r="M35" i="51"/>
  <c r="F35" i="51" s="1"/>
  <c r="L35" i="51" s="1"/>
  <c r="N35" i="51" s="1"/>
  <c r="L34" i="13"/>
  <c r="M27" i="51"/>
  <c r="F27" i="51"/>
  <c r="L13" i="13"/>
  <c r="H25" i="43"/>
  <c r="M21" i="51"/>
  <c r="I17" i="13"/>
  <c r="H24" i="43"/>
  <c r="D25" i="51"/>
  <c r="J31" i="27"/>
  <c r="M23" i="51"/>
  <c r="L36" i="13"/>
  <c r="M11" i="51"/>
  <c r="H11" i="51" s="1"/>
  <c r="L11" i="51" s="1"/>
  <c r="M46" i="3"/>
  <c r="M29" i="51"/>
  <c r="F29" i="51" s="1"/>
  <c r="L29" i="51" s="1"/>
  <c r="N29" i="51" s="1"/>
  <c r="F46" i="3"/>
  <c r="M41" i="51"/>
  <c r="I25" i="43"/>
  <c r="M33" i="51"/>
  <c r="L35" i="13"/>
  <c r="I26" i="42"/>
  <c r="F35" i="3"/>
  <c r="M30" i="51"/>
  <c r="L44" i="13"/>
  <c r="O41" i="13"/>
  <c r="J30" i="28"/>
  <c r="I19" i="43"/>
  <c r="M15" i="51"/>
  <c r="D46" i="3"/>
  <c r="J30" i="14"/>
  <c r="L14" i="13"/>
  <c r="K19" i="43" s="1"/>
  <c r="M35" i="3"/>
  <c r="M8" i="51"/>
  <c r="L20" i="13"/>
  <c r="K25" i="43" s="1"/>
  <c r="D35" i="3"/>
  <c r="M16" i="51"/>
  <c r="H16" i="51" s="1"/>
  <c r="L16" i="51" s="1"/>
  <c r="M9" i="51"/>
  <c r="L12" i="13"/>
  <c r="K12" i="43" s="1"/>
  <c r="M17" i="51"/>
  <c r="H17" i="51" s="1"/>
  <c r="L17" i="51" s="1"/>
  <c r="N17" i="51" s="1"/>
  <c r="I20" i="42"/>
  <c r="D45" i="51"/>
  <c r="F18" i="3"/>
  <c r="M13" i="51" s="1"/>
  <c r="M10" i="51"/>
  <c r="H10" i="51" s="1"/>
  <c r="L10" i="51" s="1"/>
  <c r="N10" i="51" s="1"/>
  <c r="L21" i="13"/>
  <c r="K26" i="43" s="1"/>
  <c r="O23" i="13"/>
  <c r="M18" i="51"/>
  <c r="L22" i="13"/>
  <c r="K27" i="43" s="1"/>
  <c r="C56" i="53"/>
  <c r="L19" i="13"/>
  <c r="K25" i="42" s="1"/>
  <c r="D49" i="3"/>
  <c r="D13" i="51"/>
  <c r="D43" i="51"/>
  <c r="K14" i="42"/>
  <c r="K13" i="43"/>
  <c r="K28" i="42"/>
  <c r="K13" i="42"/>
  <c r="I54" i="13"/>
  <c r="C41" i="65"/>
  <c r="M45" i="70"/>
  <c r="F23" i="51"/>
  <c r="L23" i="51"/>
  <c r="N23" i="51" s="1"/>
  <c r="J63" i="53"/>
  <c r="F22" i="45"/>
  <c r="I31" i="14"/>
  <c r="I32" i="14"/>
  <c r="H30" i="28"/>
  <c r="F31" i="14"/>
  <c r="D31" i="14"/>
  <c r="D19" i="42"/>
  <c r="J32" i="27"/>
  <c r="J33" i="27"/>
  <c r="D13" i="42"/>
  <c r="H55" i="13"/>
  <c r="H57" i="13"/>
  <c r="E31" i="14"/>
  <c r="E18" i="14"/>
  <c r="E22" i="14"/>
  <c r="D18" i="28"/>
  <c r="C19" i="42"/>
  <c r="G55" i="13"/>
  <c r="G57" i="13"/>
  <c r="F32" i="27"/>
  <c r="F31" i="28"/>
  <c r="E55" i="13"/>
  <c r="G32" i="27"/>
  <c r="G33" i="27"/>
  <c r="C40" i="55"/>
  <c r="C41" i="55" s="1"/>
  <c r="K17" i="13"/>
  <c r="K46" i="51"/>
  <c r="C41" i="57"/>
  <c r="G13" i="51"/>
  <c r="G31" i="28"/>
  <c r="D18" i="3"/>
  <c r="D47" i="3" s="1"/>
  <c r="D50" i="3" s="1"/>
  <c r="D54" i="3" s="1"/>
  <c r="I33" i="51"/>
  <c r="L33" i="51" s="1"/>
  <c r="N33" i="51" s="1"/>
  <c r="H31" i="28"/>
  <c r="H22" i="43"/>
  <c r="H30" i="43"/>
  <c r="D30" i="3"/>
  <c r="G22" i="43"/>
  <c r="G30" i="43"/>
  <c r="F22" i="43"/>
  <c r="F30" i="43"/>
  <c r="E32" i="27"/>
  <c r="E33" i="27"/>
  <c r="D31" i="28"/>
  <c r="F18" i="14"/>
  <c r="E18" i="43"/>
  <c r="F19" i="27"/>
  <c r="F23" i="27"/>
  <c r="F31" i="27"/>
  <c r="F18" i="28"/>
  <c r="H32" i="27"/>
  <c r="H33" i="27"/>
  <c r="E46" i="51"/>
  <c r="C36" i="57"/>
  <c r="H23" i="42"/>
  <c r="H31" i="42"/>
  <c r="J31" i="28"/>
  <c r="J32" i="28"/>
  <c r="D33" i="27"/>
  <c r="H8" i="51"/>
  <c r="L8" i="51" s="1"/>
  <c r="N8" i="51" s="1"/>
  <c r="I31" i="28"/>
  <c r="I32" i="28"/>
  <c r="D22" i="14"/>
  <c r="H31" i="14"/>
  <c r="H32" i="14"/>
  <c r="C12" i="43"/>
  <c r="K22" i="45"/>
  <c r="K14" i="45"/>
  <c r="I24" i="43"/>
  <c r="I26" i="43"/>
  <c r="K41" i="13"/>
  <c r="K56" i="13"/>
  <c r="J52" i="13"/>
  <c r="J41" i="13"/>
  <c r="K52" i="13"/>
  <c r="H50" i="44"/>
  <c r="I25" i="42"/>
  <c r="I11" i="43"/>
  <c r="J17" i="13"/>
  <c r="I27" i="43"/>
  <c r="L52" i="13"/>
  <c r="E54" i="13"/>
  <c r="D23" i="42"/>
  <c r="D31" i="42"/>
  <c r="M18" i="3"/>
  <c r="J31" i="14"/>
  <c r="J32" i="14"/>
  <c r="H20" i="44"/>
  <c r="H24" i="44"/>
  <c r="D21" i="44"/>
  <c r="J54" i="13"/>
  <c r="K23" i="13"/>
  <c r="M47" i="3"/>
  <c r="M43" i="70" s="1"/>
  <c r="G43" i="51"/>
  <c r="G46" i="51"/>
  <c r="D22" i="28"/>
  <c r="C23" i="42"/>
  <c r="C31" i="42"/>
  <c r="C29" i="42"/>
  <c r="C32" i="42"/>
  <c r="E57" i="13"/>
  <c r="D28" i="43"/>
  <c r="D31" i="43"/>
  <c r="G23" i="42"/>
  <c r="G31" i="42"/>
  <c r="D12" i="43"/>
  <c r="G28" i="43"/>
  <c r="G31" i="43"/>
  <c r="C13" i="42"/>
  <c r="D18" i="43"/>
  <c r="H32" i="28"/>
  <c r="G33" i="42"/>
  <c r="F33" i="27"/>
  <c r="M19" i="51"/>
  <c r="I41" i="51"/>
  <c r="K54" i="13"/>
  <c r="C46" i="53"/>
  <c r="F29" i="42"/>
  <c r="F32" i="42"/>
  <c r="G30" i="14"/>
  <c r="D46" i="51"/>
  <c r="G29" i="42"/>
  <c r="G32" i="42"/>
  <c r="F22" i="14"/>
  <c r="E12" i="43"/>
  <c r="E13" i="42"/>
  <c r="E19" i="42"/>
  <c r="F22" i="28"/>
  <c r="G32" i="43"/>
  <c r="C28" i="43"/>
  <c r="C31" i="43"/>
  <c r="D55" i="13"/>
  <c r="D57" i="13"/>
  <c r="E30" i="14"/>
  <c r="E32" i="14"/>
  <c r="D22" i="43"/>
  <c r="D30" i="43"/>
  <c r="F23" i="42"/>
  <c r="F31" i="42"/>
  <c r="G30" i="28"/>
  <c r="G32" i="28"/>
  <c r="F33" i="42"/>
  <c r="C22" i="43"/>
  <c r="C30" i="43"/>
  <c r="D30" i="14"/>
  <c r="D32" i="14"/>
  <c r="E31" i="28"/>
  <c r="E32" i="28"/>
  <c r="D29" i="42"/>
  <c r="D32" i="42"/>
  <c r="I23" i="42"/>
  <c r="I31" i="42"/>
  <c r="I22" i="43"/>
  <c r="I30" i="43"/>
  <c r="I28" i="43"/>
  <c r="I31" i="43"/>
  <c r="E29" i="42"/>
  <c r="E32" i="42"/>
  <c r="E28" i="43"/>
  <c r="E31" i="43"/>
  <c r="F55" i="13"/>
  <c r="F57" i="13"/>
  <c r="I55" i="13"/>
  <c r="I57" i="13"/>
  <c r="H28" i="43"/>
  <c r="H31" i="43"/>
  <c r="H29" i="42"/>
  <c r="H32" i="42"/>
  <c r="G31" i="14"/>
  <c r="F28" i="43"/>
  <c r="F31" i="43"/>
  <c r="M44" i="51"/>
  <c r="C34" i="55"/>
  <c r="C35" i="55" s="1"/>
  <c r="K55" i="13"/>
  <c r="K57" i="13"/>
  <c r="D30" i="28"/>
  <c r="D32" i="28"/>
  <c r="C33" i="42"/>
  <c r="C35" i="57"/>
  <c r="D33" i="42"/>
  <c r="D32" i="43"/>
  <c r="G32" i="14"/>
  <c r="F32" i="43"/>
  <c r="E23" i="42"/>
  <c r="E31" i="42"/>
  <c r="F30" i="28"/>
  <c r="F32" i="28"/>
  <c r="E33" i="42"/>
  <c r="F30" i="14"/>
  <c r="F32" i="14"/>
  <c r="E32" i="43"/>
  <c r="E22" i="43"/>
  <c r="E30" i="43"/>
  <c r="C32" i="43"/>
  <c r="I29" i="42"/>
  <c r="I32" i="42"/>
  <c r="J55" i="13"/>
  <c r="J57" i="13"/>
  <c r="H33" i="42"/>
  <c r="H32" i="43"/>
  <c r="I33" i="42"/>
  <c r="I32" i="43"/>
  <c r="J26" i="43"/>
  <c r="J27" i="42"/>
  <c r="L31" i="27"/>
  <c r="J27" i="43"/>
  <c r="J25" i="43"/>
  <c r="J28" i="42"/>
  <c r="K32" i="27"/>
  <c r="J24" i="43"/>
  <c r="J26" i="42"/>
  <c r="J11" i="43"/>
  <c r="J25" i="42"/>
  <c r="K31" i="14"/>
  <c r="J28" i="43"/>
  <c r="J31" i="43"/>
  <c r="K31" i="28"/>
  <c r="J29" i="42"/>
  <c r="J32" i="42"/>
  <c r="J12" i="42"/>
  <c r="J19" i="43"/>
  <c r="J20" i="42"/>
  <c r="L32" i="27"/>
  <c r="L33" i="27"/>
  <c r="O22" i="44"/>
  <c r="W44" i="44"/>
  <c r="O36" i="44"/>
  <c r="G46" i="66"/>
  <c r="G41" i="66"/>
  <c r="L34" i="66"/>
  <c r="N34" i="66" s="1"/>
  <c r="J27" i="66"/>
  <c r="J43" i="66" s="1"/>
  <c r="L27" i="66"/>
  <c r="J28" i="66"/>
  <c r="J44" i="66" s="1"/>
  <c r="L28" i="66"/>
  <c r="N28" i="66" s="1"/>
  <c r="J27" i="68"/>
  <c r="L27" i="68" s="1"/>
  <c r="J44" i="68"/>
  <c r="J27" i="70"/>
  <c r="L27" i="70" s="1"/>
  <c r="J28" i="70"/>
  <c r="L28" i="70" s="1"/>
  <c r="N28" i="70" s="1"/>
  <c r="F30" i="70"/>
  <c r="G45" i="70"/>
  <c r="G46" i="70" s="1"/>
  <c r="L34" i="70"/>
  <c r="N34" i="70" s="1"/>
  <c r="G41" i="70"/>
  <c r="K48" i="3" l="1"/>
  <c r="M44" i="68" s="1"/>
  <c r="N32" i="68"/>
  <c r="O32" i="68"/>
  <c r="N36" i="68"/>
  <c r="O36" i="68"/>
  <c r="N38" i="68"/>
  <c r="O38" i="68"/>
  <c r="N28" i="68"/>
  <c r="O28" i="68"/>
  <c r="N27" i="68"/>
  <c r="O27" i="68"/>
  <c r="N22" i="68"/>
  <c r="O22" i="68"/>
  <c r="L16" i="68"/>
  <c r="O16" i="68" s="1"/>
  <c r="L17" i="68"/>
  <c r="O17" i="68"/>
  <c r="N47" i="3"/>
  <c r="C31" i="65" s="1"/>
  <c r="C32" i="65" s="1"/>
  <c r="C37" i="65" s="1"/>
  <c r="F34" i="65" s="1"/>
  <c r="F35" i="65" s="1"/>
  <c r="M13" i="70"/>
  <c r="M48" i="70" s="1"/>
  <c r="L9" i="68"/>
  <c r="N9" i="68" s="1"/>
  <c r="L47" i="3"/>
  <c r="C31" i="64" s="1"/>
  <c r="C32" i="64" s="1"/>
  <c r="M13" i="68"/>
  <c r="D46" i="68"/>
  <c r="J28" i="44"/>
  <c r="N34" i="44"/>
  <c r="K44" i="44"/>
  <c r="O27" i="44"/>
  <c r="O41" i="44"/>
  <c r="W43" i="44"/>
  <c r="N50" i="44"/>
  <c r="S42" i="44"/>
  <c r="V53" i="44"/>
  <c r="W37" i="44"/>
  <c r="W47" i="44"/>
  <c r="S17" i="44"/>
  <c r="S31" i="44"/>
  <c r="O30" i="44"/>
  <c r="O42" i="44"/>
  <c r="Q18" i="44"/>
  <c r="Q52" i="44" s="1"/>
  <c r="N28" i="44"/>
  <c r="K27" i="44"/>
  <c r="K14" i="44"/>
  <c r="O33" i="44"/>
  <c r="J39" i="44"/>
  <c r="K33" i="44"/>
  <c r="D34" i="44"/>
  <c r="P50" i="44"/>
  <c r="O32" i="44"/>
  <c r="O38" i="44"/>
  <c r="P18" i="44"/>
  <c r="P52" i="44" s="1"/>
  <c r="T34" i="44"/>
  <c r="D18" i="44"/>
  <c r="S26" i="44"/>
  <c r="S28" i="44" s="1"/>
  <c r="T18" i="44"/>
  <c r="T52" i="44" s="1"/>
  <c r="L54" i="44"/>
  <c r="S33" i="44"/>
  <c r="K23" i="44"/>
  <c r="F39" i="44"/>
  <c r="U28" i="44"/>
  <c r="R18" i="44"/>
  <c r="R52" i="44" s="1"/>
  <c r="G47" i="44"/>
  <c r="V34" i="44"/>
  <c r="S16" i="44"/>
  <c r="I28" i="44"/>
  <c r="R39" i="44"/>
  <c r="I50" i="44"/>
  <c r="J24" i="44"/>
  <c r="J53" i="44" s="1"/>
  <c r="V39" i="44"/>
  <c r="L50" i="3"/>
  <c r="M46" i="68" s="1"/>
  <c r="O50" i="3"/>
  <c r="O52" i="3" s="1"/>
  <c r="F13" i="51"/>
  <c r="L12" i="51"/>
  <c r="N12" i="51" s="1"/>
  <c r="N17" i="13"/>
  <c r="N54" i="13" s="1"/>
  <c r="O56" i="13"/>
  <c r="K27" i="42"/>
  <c r="L41" i="13"/>
  <c r="M48" i="51"/>
  <c r="M17" i="13"/>
  <c r="M54" i="13" s="1"/>
  <c r="I44" i="51"/>
  <c r="L23" i="13"/>
  <c r="K29" i="42" s="1"/>
  <c r="K32" i="42" s="1"/>
  <c r="F30" i="51"/>
  <c r="H53" i="44"/>
  <c r="L34" i="44"/>
  <c r="I43" i="51"/>
  <c r="L17" i="13"/>
  <c r="K26" i="42"/>
  <c r="F30" i="66"/>
  <c r="O55" i="13"/>
  <c r="D50" i="44"/>
  <c r="O45" i="44"/>
  <c r="O32" i="13"/>
  <c r="L12" i="66"/>
  <c r="N12" i="66" s="1"/>
  <c r="F13" i="66"/>
  <c r="F43" i="66" s="1"/>
  <c r="L22" i="66"/>
  <c r="N22" i="66" s="1"/>
  <c r="F25" i="66"/>
  <c r="F44" i="66"/>
  <c r="J45" i="66"/>
  <c r="J46" i="66" s="1"/>
  <c r="C40" i="67" s="1"/>
  <c r="J41" i="66"/>
  <c r="L40" i="66"/>
  <c r="L30" i="66"/>
  <c r="N30" i="66" s="1"/>
  <c r="D45" i="70"/>
  <c r="D46" i="70" s="1"/>
  <c r="C35" i="71" s="1"/>
  <c r="J30" i="68"/>
  <c r="M50" i="3"/>
  <c r="N38" i="51"/>
  <c r="H39" i="44"/>
  <c r="M13" i="66"/>
  <c r="M23" i="13"/>
  <c r="M55" i="13" s="1"/>
  <c r="M57" i="13" s="1"/>
  <c r="G37" i="44"/>
  <c r="L40" i="68"/>
  <c r="N40" i="66"/>
  <c r="H34" i="44"/>
  <c r="I47" i="3"/>
  <c r="J43" i="68"/>
  <c r="J46" i="68" s="1"/>
  <c r="C40" i="69" s="1"/>
  <c r="L56" i="13"/>
  <c r="D24" i="44"/>
  <c r="D53" i="44" s="1"/>
  <c r="M41" i="13"/>
  <c r="K16" i="44"/>
  <c r="I46" i="51"/>
  <c r="C39" i="57" s="1"/>
  <c r="D57" i="3"/>
  <c r="K20" i="42"/>
  <c r="L27" i="51"/>
  <c r="N27" i="51" s="1"/>
  <c r="L18" i="44"/>
  <c r="L52" i="44" s="1"/>
  <c r="L50" i="44"/>
  <c r="P39" i="44"/>
  <c r="D52" i="44"/>
  <c r="D54" i="44"/>
  <c r="D41" i="70"/>
  <c r="T39" i="44"/>
  <c r="D39" i="44"/>
  <c r="N35" i="68"/>
  <c r="P24" i="44"/>
  <c r="P53" i="44" s="1"/>
  <c r="N23" i="13"/>
  <c r="N55" i="13" s="1"/>
  <c r="N27" i="70"/>
  <c r="L30" i="70"/>
  <c r="N30" i="70" s="1"/>
  <c r="J57" i="3"/>
  <c r="J54" i="3"/>
  <c r="J55" i="3" s="1"/>
  <c r="J52" i="3"/>
  <c r="G15" i="44"/>
  <c r="H11" i="68"/>
  <c r="F12" i="70"/>
  <c r="I33" i="66"/>
  <c r="H18" i="68"/>
  <c r="M32" i="13"/>
  <c r="M48" i="66"/>
  <c r="F32" i="66"/>
  <c r="O17" i="13"/>
  <c r="O54" i="13" s="1"/>
  <c r="N39" i="51"/>
  <c r="F47" i="3"/>
  <c r="F21" i="51"/>
  <c r="O20" i="44"/>
  <c r="L24" i="44"/>
  <c r="L53" i="44" s="1"/>
  <c r="I33" i="68"/>
  <c r="H10" i="66"/>
  <c r="L10" i="66" s="1"/>
  <c r="N10" i="66" s="1"/>
  <c r="L33" i="70"/>
  <c r="N33" i="70" s="1"/>
  <c r="I43" i="70"/>
  <c r="I41" i="70"/>
  <c r="I44" i="70"/>
  <c r="L29" i="68"/>
  <c r="L15" i="70"/>
  <c r="F30" i="68"/>
  <c r="H13" i="66"/>
  <c r="H43" i="66" s="1"/>
  <c r="L9" i="66"/>
  <c r="N9" i="66" s="1"/>
  <c r="K22" i="43"/>
  <c r="K30" i="43" s="1"/>
  <c r="L54" i="13"/>
  <c r="N11" i="51"/>
  <c r="J44" i="70"/>
  <c r="J43" i="70"/>
  <c r="J30" i="66"/>
  <c r="T54" i="44"/>
  <c r="F12" i="68"/>
  <c r="N27" i="66"/>
  <c r="H9" i="70"/>
  <c r="F23" i="70"/>
  <c r="H10" i="68"/>
  <c r="C35" i="67"/>
  <c r="L25" i="66"/>
  <c r="N25" i="66" s="1"/>
  <c r="N21" i="68"/>
  <c r="L32" i="70"/>
  <c r="N32" i="70" s="1"/>
  <c r="J30" i="70"/>
  <c r="H18" i="51"/>
  <c r="L18" i="51" s="1"/>
  <c r="N18" i="51" s="1"/>
  <c r="F32" i="51"/>
  <c r="H8" i="68"/>
  <c r="L23" i="68"/>
  <c r="M54" i="3"/>
  <c r="M55" i="3" s="1"/>
  <c r="M57" i="3"/>
  <c r="N36" i="51"/>
  <c r="H18" i="44"/>
  <c r="H52" i="44" s="1"/>
  <c r="N16" i="51"/>
  <c r="C28" i="53"/>
  <c r="I40" i="53" s="1"/>
  <c r="K28" i="43"/>
  <c r="K31" i="43" s="1"/>
  <c r="L55" i="13"/>
  <c r="T24" i="44"/>
  <c r="T53" i="44" s="1"/>
  <c r="T50" i="44"/>
  <c r="K12" i="42"/>
  <c r="K11" i="43"/>
  <c r="O52" i="13"/>
  <c r="M56" i="13"/>
  <c r="C30" i="72"/>
  <c r="C31" i="63"/>
  <c r="C32" i="63" s="1"/>
  <c r="C37" i="63" s="1"/>
  <c r="F30" i="63" s="1"/>
  <c r="C30" i="78"/>
  <c r="H11" i="70"/>
  <c r="L11" i="70" s="1"/>
  <c r="N11" i="70" s="1"/>
  <c r="N56" i="13"/>
  <c r="F38" i="70"/>
  <c r="L38" i="70" s="1"/>
  <c r="N38" i="70" s="1"/>
  <c r="H18" i="70"/>
  <c r="L18" i="70" s="1"/>
  <c r="N18" i="70" s="1"/>
  <c r="L32" i="13"/>
  <c r="F24" i="68"/>
  <c r="L24" i="68" s="1"/>
  <c r="H10" i="70"/>
  <c r="L10" i="70" s="1"/>
  <c r="N10" i="70" s="1"/>
  <c r="N21" i="70"/>
  <c r="J40" i="70"/>
  <c r="F37" i="70"/>
  <c r="F41" i="70" s="1"/>
  <c r="H15" i="51"/>
  <c r="M52" i="13"/>
  <c r="F39" i="68"/>
  <c r="L39" i="68" s="1"/>
  <c r="M52" i="3"/>
  <c r="K23" i="42"/>
  <c r="K31" i="42" s="1"/>
  <c r="K24" i="43"/>
  <c r="H9" i="51"/>
  <c r="F24" i="51"/>
  <c r="L24" i="51" s="1"/>
  <c r="N24" i="51" s="1"/>
  <c r="L37" i="68"/>
  <c r="N52" i="13"/>
  <c r="N8" i="70"/>
  <c r="L15" i="68"/>
  <c r="O15" i="68" s="1"/>
  <c r="C37" i="64"/>
  <c r="F30" i="64" s="1"/>
  <c r="N36" i="66"/>
  <c r="W14" i="44"/>
  <c r="W21" i="44"/>
  <c r="G16" i="44"/>
  <c r="G48" i="44"/>
  <c r="G21" i="44"/>
  <c r="G43" i="44"/>
  <c r="J41" i="68"/>
  <c r="P34" i="44"/>
  <c r="G30" i="44"/>
  <c r="G49" i="44"/>
  <c r="N17" i="68"/>
  <c r="H15" i="66"/>
  <c r="K20" i="44"/>
  <c r="K32" i="44"/>
  <c r="O15" i="44"/>
  <c r="O49" i="44"/>
  <c r="S22" i="44"/>
  <c r="S36" i="44"/>
  <c r="S46" i="44"/>
  <c r="W17" i="44"/>
  <c r="W31" i="44"/>
  <c r="G31" i="44"/>
  <c r="S45" i="44"/>
  <c r="W16" i="44"/>
  <c r="K14" i="79"/>
  <c r="K17" i="44"/>
  <c r="K31" i="44"/>
  <c r="K43" i="44"/>
  <c r="O26" i="44"/>
  <c r="M39" i="44"/>
  <c r="O48" i="44"/>
  <c r="Q34" i="44"/>
  <c r="W30" i="44"/>
  <c r="R28" i="44"/>
  <c r="K26" i="44"/>
  <c r="K38" i="44"/>
  <c r="O21" i="44"/>
  <c r="S30" i="44"/>
  <c r="W13" i="44"/>
  <c r="K21" i="44"/>
  <c r="K45" i="44"/>
  <c r="O16" i="44"/>
  <c r="M34" i="44"/>
  <c r="S13" i="44"/>
  <c r="S23" i="44"/>
  <c r="S37" i="44"/>
  <c r="S47" i="44"/>
  <c r="W20" i="44"/>
  <c r="W32" i="44"/>
  <c r="K15" i="44"/>
  <c r="O46" i="44"/>
  <c r="W26" i="44"/>
  <c r="W38" i="44"/>
  <c r="W48" i="44"/>
  <c r="K22" i="44"/>
  <c r="K36" i="44"/>
  <c r="O17" i="44"/>
  <c r="O31" i="44"/>
  <c r="O43" i="44"/>
  <c r="S14" i="44"/>
  <c r="Q28" i="44"/>
  <c r="S38" i="44"/>
  <c r="S48" i="44"/>
  <c r="W33" i="44"/>
  <c r="K30" i="44"/>
  <c r="O13" i="44"/>
  <c r="O23" i="44"/>
  <c r="O37" i="44"/>
  <c r="O47" i="44"/>
  <c r="R24" i="44"/>
  <c r="R53" i="44" s="1"/>
  <c r="S32" i="44"/>
  <c r="S44" i="44"/>
  <c r="W27" i="44"/>
  <c r="W41" i="44"/>
  <c r="M24" i="44"/>
  <c r="M53" i="44" s="1"/>
  <c r="G42" i="44"/>
  <c r="K11" i="79"/>
  <c r="M18" i="44"/>
  <c r="M52" i="44" s="1"/>
  <c r="Q24" i="44"/>
  <c r="Q53" i="44" s="1"/>
  <c r="U18" i="44"/>
  <c r="U52" i="44" s="1"/>
  <c r="J18" i="44"/>
  <c r="J52" i="44" s="1"/>
  <c r="N24" i="44"/>
  <c r="N53" i="44" s="1"/>
  <c r="K49" i="44"/>
  <c r="U24" i="44"/>
  <c r="U53" i="44" s="1"/>
  <c r="V18" i="44"/>
  <c r="V52" i="44" s="1"/>
  <c r="I54" i="44"/>
  <c r="J50" i="44"/>
  <c r="G46" i="44"/>
  <c r="I18" i="44"/>
  <c r="I52" i="44" s="1"/>
  <c r="K37" i="44"/>
  <c r="K47" i="44"/>
  <c r="O44" i="44"/>
  <c r="S15" i="44"/>
  <c r="S41" i="44"/>
  <c r="W22" i="44"/>
  <c r="W36" i="44"/>
  <c r="W46" i="44"/>
  <c r="J54" i="44"/>
  <c r="N54" i="44"/>
  <c r="W42" i="44"/>
  <c r="G13" i="44"/>
  <c r="G38" i="44"/>
  <c r="E18" i="44"/>
  <c r="E52" i="44" s="1"/>
  <c r="E39" i="44"/>
  <c r="E34" i="44"/>
  <c r="G23" i="44"/>
  <c r="E54" i="44"/>
  <c r="F18" i="44"/>
  <c r="F52" i="44" s="1"/>
  <c r="F54" i="44"/>
  <c r="F34" i="44"/>
  <c r="G17" i="44"/>
  <c r="E50" i="44"/>
  <c r="F24" i="44"/>
  <c r="F53" i="44" s="1"/>
  <c r="G44" i="44"/>
  <c r="G36" i="44"/>
  <c r="G45" i="44"/>
  <c r="E24" i="44"/>
  <c r="E53" i="44" s="1"/>
  <c r="G20" i="44"/>
  <c r="G32" i="44"/>
  <c r="N18" i="44"/>
  <c r="N52" i="44" s="1"/>
  <c r="K42" i="44"/>
  <c r="G41" i="44"/>
  <c r="I24" i="44"/>
  <c r="I53" i="44" s="1"/>
  <c r="R34" i="44"/>
  <c r="M54" i="44"/>
  <c r="K13" i="44"/>
  <c r="U39" i="44"/>
  <c r="N39" i="44"/>
  <c r="I39" i="44"/>
  <c r="K46" i="44"/>
  <c r="G14" i="44"/>
  <c r="S21" i="44"/>
  <c r="W15" i="44"/>
  <c r="G22" i="44"/>
  <c r="W45" i="44"/>
  <c r="J34" i="44"/>
  <c r="O14" i="44"/>
  <c r="G33" i="44"/>
  <c r="S20" i="44"/>
  <c r="V28" i="44"/>
  <c r="I34" i="44"/>
  <c r="M28" i="44"/>
  <c r="F50" i="44"/>
  <c r="Q39" i="44"/>
  <c r="M50" i="44"/>
  <c r="K30" i="28"/>
  <c r="K32" i="28" s="1"/>
  <c r="J33" i="42" s="1"/>
  <c r="J23" i="42"/>
  <c r="J31" i="42" s="1"/>
  <c r="K30" i="14"/>
  <c r="K32" i="14" s="1"/>
  <c r="J32" i="43" s="1"/>
  <c r="I55" i="53"/>
  <c r="H57" i="3"/>
  <c r="G52" i="3"/>
  <c r="J45" i="51"/>
  <c r="L40" i="51"/>
  <c r="J41" i="51"/>
  <c r="H54" i="44"/>
  <c r="O39" i="44" l="1"/>
  <c r="K50" i="3"/>
  <c r="K54" i="3" s="1"/>
  <c r="K55" i="3" s="1"/>
  <c r="O28" i="44"/>
  <c r="N50" i="3"/>
  <c r="M46" i="70" s="1"/>
  <c r="O57" i="13"/>
  <c r="N39" i="68"/>
  <c r="O39" i="68"/>
  <c r="N37" i="68"/>
  <c r="O37" i="68"/>
  <c r="N40" i="68"/>
  <c r="O40" i="68"/>
  <c r="N29" i="68"/>
  <c r="O29" i="68"/>
  <c r="N23" i="68"/>
  <c r="O23" i="68"/>
  <c r="N24" i="68"/>
  <c r="O24" i="68"/>
  <c r="L18" i="68"/>
  <c r="N18" i="68" s="1"/>
  <c r="N16" i="68"/>
  <c r="N57" i="13"/>
  <c r="L11" i="68"/>
  <c r="N11" i="68" s="1"/>
  <c r="O11" i="68"/>
  <c r="L10" i="68"/>
  <c r="N10" i="68" s="1"/>
  <c r="O9" i="68"/>
  <c r="K28" i="44"/>
  <c r="C43" i="64"/>
  <c r="E30" i="64" s="1"/>
  <c r="O8" i="68"/>
  <c r="F41" i="68"/>
  <c r="O34" i="44"/>
  <c r="W28" i="44"/>
  <c r="P55" i="44"/>
  <c r="S39" i="44"/>
  <c r="K18" i="44"/>
  <c r="K52" i="44" s="1"/>
  <c r="C32" i="61" s="1"/>
  <c r="C31" i="61" s="1"/>
  <c r="U51" i="3"/>
  <c r="O54" i="3"/>
  <c r="O55" i="3" s="1"/>
  <c r="S51" i="3"/>
  <c r="L54" i="3"/>
  <c r="L55" i="3" s="1"/>
  <c r="L52" i="3"/>
  <c r="L57" i="3"/>
  <c r="O57" i="3"/>
  <c r="K34" i="44"/>
  <c r="L30" i="51"/>
  <c r="N30" i="51" s="1"/>
  <c r="H55" i="44"/>
  <c r="C44" i="61" s="1"/>
  <c r="F31" i="64"/>
  <c r="F32" i="64" s="1"/>
  <c r="L55" i="44"/>
  <c r="C44" i="78" s="1"/>
  <c r="K54" i="44"/>
  <c r="C40" i="61" s="1"/>
  <c r="C43" i="63"/>
  <c r="F34" i="63"/>
  <c r="F35" i="63" s="1"/>
  <c r="K39" i="44"/>
  <c r="W24" i="44"/>
  <c r="W53" i="44" s="1"/>
  <c r="C34" i="74" s="1"/>
  <c r="C35" i="74" s="1"/>
  <c r="L13" i="66"/>
  <c r="M43" i="66"/>
  <c r="I50" i="3"/>
  <c r="F31" i="63"/>
  <c r="F32" i="63" s="1"/>
  <c r="F37" i="63" s="1"/>
  <c r="F25" i="68"/>
  <c r="D55" i="44"/>
  <c r="O24" i="44"/>
  <c r="O53" i="44" s="1"/>
  <c r="C34" i="78" s="1"/>
  <c r="C35" i="78" s="1"/>
  <c r="H19" i="68"/>
  <c r="T55" i="44"/>
  <c r="C44" i="74" s="1"/>
  <c r="L57" i="13"/>
  <c r="K33" i="42" s="1"/>
  <c r="W34" i="44"/>
  <c r="H13" i="51"/>
  <c r="H43" i="51" s="1"/>
  <c r="L9" i="51"/>
  <c r="L12" i="70"/>
  <c r="N12" i="70" s="1"/>
  <c r="F13" i="70"/>
  <c r="F43" i="70" s="1"/>
  <c r="K32" i="43"/>
  <c r="S34" i="44"/>
  <c r="H19" i="66"/>
  <c r="H44" i="66" s="1"/>
  <c r="H46" i="66" s="1"/>
  <c r="C38" i="67" s="1"/>
  <c r="L15" i="66"/>
  <c r="L25" i="68"/>
  <c r="L33" i="68"/>
  <c r="O33" i="68" s="1"/>
  <c r="I44" i="68"/>
  <c r="I41" i="68"/>
  <c r="I43" i="68"/>
  <c r="O18" i="44"/>
  <c r="O52" i="44" s="1"/>
  <c r="C32" i="72" s="1"/>
  <c r="F45" i="70"/>
  <c r="L37" i="70"/>
  <c r="N37" i="70" s="1"/>
  <c r="I46" i="70"/>
  <c r="C39" i="71" s="1"/>
  <c r="H19" i="51"/>
  <c r="H44" i="51" s="1"/>
  <c r="L15" i="51"/>
  <c r="F25" i="70"/>
  <c r="L23" i="70"/>
  <c r="F44" i="70"/>
  <c r="L32" i="51"/>
  <c r="N32" i="51" s="1"/>
  <c r="F41" i="51"/>
  <c r="F45" i="51"/>
  <c r="L9" i="70"/>
  <c r="H13" i="70"/>
  <c r="H43" i="70" s="1"/>
  <c r="F45" i="66"/>
  <c r="F41" i="66"/>
  <c r="L32" i="66"/>
  <c r="F34" i="64"/>
  <c r="F35" i="64" s="1"/>
  <c r="W18" i="44"/>
  <c r="W52" i="44" s="1"/>
  <c r="S18" i="44"/>
  <c r="S52" i="44" s="1"/>
  <c r="C32" i="73" s="1"/>
  <c r="J45" i="70"/>
  <c r="J46" i="70" s="1"/>
  <c r="C40" i="71" s="1"/>
  <c r="J41" i="70"/>
  <c r="L40" i="70"/>
  <c r="N40" i="70" s="1"/>
  <c r="F44" i="68"/>
  <c r="H19" i="70"/>
  <c r="H44" i="70" s="1"/>
  <c r="F25" i="51"/>
  <c r="L21" i="51"/>
  <c r="F44" i="51"/>
  <c r="K24" i="44"/>
  <c r="K53" i="44" s="1"/>
  <c r="L30" i="68"/>
  <c r="N13" i="66"/>
  <c r="O50" i="44"/>
  <c r="N15" i="68"/>
  <c r="F43" i="51"/>
  <c r="L19" i="70"/>
  <c r="L33" i="66"/>
  <c r="N33" i="66" s="1"/>
  <c r="I41" i="66"/>
  <c r="I43" i="66"/>
  <c r="I44" i="66"/>
  <c r="L34" i="68"/>
  <c r="G41" i="68"/>
  <c r="G45" i="68"/>
  <c r="G46" i="68" s="1"/>
  <c r="C35" i="69" s="1"/>
  <c r="L8" i="68"/>
  <c r="H13" i="68"/>
  <c r="L12" i="68"/>
  <c r="F13" i="68"/>
  <c r="F43" i="68" s="1"/>
  <c r="F45" i="68"/>
  <c r="N15" i="70"/>
  <c r="M43" i="51"/>
  <c r="F50" i="3"/>
  <c r="C31" i="55"/>
  <c r="O54" i="44"/>
  <c r="W39" i="44"/>
  <c r="G24" i="44"/>
  <c r="G53" i="44" s="1"/>
  <c r="M55" i="44"/>
  <c r="C45" i="78" s="1"/>
  <c r="E55" i="44"/>
  <c r="N55" i="44"/>
  <c r="C46" i="78" s="1"/>
  <c r="K50" i="44"/>
  <c r="I55" i="44"/>
  <c r="C45" i="61" s="1"/>
  <c r="G39" i="44"/>
  <c r="J55" i="44"/>
  <c r="C46" i="61" s="1"/>
  <c r="F55" i="44"/>
  <c r="G18" i="44"/>
  <c r="G52" i="44" s="1"/>
  <c r="G34" i="44"/>
  <c r="S24" i="44"/>
  <c r="S53" i="44" s="1"/>
  <c r="G54" i="44"/>
  <c r="G50" i="44"/>
  <c r="E30" i="63"/>
  <c r="E31" i="63"/>
  <c r="E40" i="63"/>
  <c r="E41" i="63" s="1"/>
  <c r="E34" i="63"/>
  <c r="E35" i="63" s="1"/>
  <c r="F30" i="65"/>
  <c r="F31" i="65"/>
  <c r="C43" i="65"/>
  <c r="L45" i="51"/>
  <c r="J46" i="51"/>
  <c r="C40" i="57" s="1"/>
  <c r="N40" i="51"/>
  <c r="O18" i="68" l="1"/>
  <c r="D12" i="76"/>
  <c r="K57" i="3"/>
  <c r="K52" i="3"/>
  <c r="D13" i="76"/>
  <c r="N57" i="3"/>
  <c r="N52" i="3"/>
  <c r="T51" i="3"/>
  <c r="N54" i="3"/>
  <c r="N55" i="3" s="1"/>
  <c r="N30" i="68"/>
  <c r="O30" i="68"/>
  <c r="N25" i="68"/>
  <c r="O25" i="68"/>
  <c r="H44" i="68"/>
  <c r="L19" i="68"/>
  <c r="O19" i="68" s="1"/>
  <c r="N12" i="68"/>
  <c r="O12" i="68"/>
  <c r="O10" i="68"/>
  <c r="E31" i="64"/>
  <c r="E32" i="64" s="1"/>
  <c r="E34" i="64"/>
  <c r="E35" i="64" s="1"/>
  <c r="E40" i="64"/>
  <c r="E41" i="64" s="1"/>
  <c r="N34" i="68"/>
  <c r="O34" i="68"/>
  <c r="H43" i="68"/>
  <c r="C45" i="72"/>
  <c r="C32" i="78"/>
  <c r="C31" i="78" s="1"/>
  <c r="C46" i="72"/>
  <c r="C32" i="74"/>
  <c r="C31" i="74" s="1"/>
  <c r="F37" i="64"/>
  <c r="L41" i="51"/>
  <c r="N41" i="51" s="1"/>
  <c r="F46" i="51"/>
  <c r="L41" i="70"/>
  <c r="N41" i="70" s="1"/>
  <c r="I46" i="68"/>
  <c r="C39" i="69" s="1"/>
  <c r="C44" i="72"/>
  <c r="L43" i="66"/>
  <c r="O55" i="44"/>
  <c r="H46" i="70"/>
  <c r="C38" i="71" s="1"/>
  <c r="C34" i="72"/>
  <c r="C35" i="72" s="1"/>
  <c r="C37" i="72" s="1"/>
  <c r="L45" i="68"/>
  <c r="I57" i="3"/>
  <c r="C16" i="75"/>
  <c r="I54" i="3"/>
  <c r="I55" i="3" s="1"/>
  <c r="M46" i="66"/>
  <c r="I52" i="3"/>
  <c r="L45" i="70"/>
  <c r="N45" i="70" s="1"/>
  <c r="C34" i="61"/>
  <c r="C35" i="61" s="1"/>
  <c r="C37" i="61" s="1"/>
  <c r="F30" i="61" s="1"/>
  <c r="K55" i="44"/>
  <c r="F47" i="51"/>
  <c r="C37" i="57"/>
  <c r="L25" i="70"/>
  <c r="N25" i="70" s="1"/>
  <c r="N23" i="70"/>
  <c r="L13" i="51"/>
  <c r="N9" i="51"/>
  <c r="L41" i="66"/>
  <c r="N41" i="66" s="1"/>
  <c r="N32" i="66"/>
  <c r="L45" i="66"/>
  <c r="N45" i="66" s="1"/>
  <c r="F46" i="66"/>
  <c r="N43" i="66"/>
  <c r="H46" i="51"/>
  <c r="C38" i="57" s="1"/>
  <c r="L44" i="70"/>
  <c r="N44" i="70" s="1"/>
  <c r="N19" i="70"/>
  <c r="F46" i="68"/>
  <c r="L19" i="51"/>
  <c r="N15" i="51"/>
  <c r="L19" i="66"/>
  <c r="N15" i="66"/>
  <c r="L25" i="51"/>
  <c r="N25" i="51" s="1"/>
  <c r="N21" i="51"/>
  <c r="L13" i="70"/>
  <c r="N9" i="70"/>
  <c r="I46" i="66"/>
  <c r="C39" i="67" s="1"/>
  <c r="C32" i="55"/>
  <c r="C37" i="55" s="1"/>
  <c r="F31" i="55" s="1"/>
  <c r="L13" i="68"/>
  <c r="N8" i="68"/>
  <c r="K62" i="77"/>
  <c r="K55" i="77"/>
  <c r="K28" i="77"/>
  <c r="K41" i="77"/>
  <c r="K40" i="77"/>
  <c r="K42" i="77"/>
  <c r="K56" i="77"/>
  <c r="K61" i="77"/>
  <c r="K46" i="77"/>
  <c r="F54" i="3"/>
  <c r="F55" i="3" s="1"/>
  <c r="C16" i="53"/>
  <c r="F57" i="3"/>
  <c r="M46" i="51"/>
  <c r="N33" i="68"/>
  <c r="L41" i="68"/>
  <c r="F46" i="70"/>
  <c r="C40" i="78"/>
  <c r="C41" i="78" s="1"/>
  <c r="C40" i="72"/>
  <c r="C41" i="72" s="1"/>
  <c r="G55" i="44"/>
  <c r="C31" i="72"/>
  <c r="F32" i="65"/>
  <c r="F37" i="65" s="1"/>
  <c r="E40" i="65"/>
  <c r="E41" i="65" s="1"/>
  <c r="E30" i="65"/>
  <c r="E34" i="65"/>
  <c r="E35" i="65" s="1"/>
  <c r="E31" i="65"/>
  <c r="E32" i="63"/>
  <c r="E37" i="63" s="1"/>
  <c r="E43" i="63" s="1"/>
  <c r="N45" i="51"/>
  <c r="C41" i="61"/>
  <c r="C43" i="57"/>
  <c r="N19" i="68" l="1"/>
  <c r="D14" i="76"/>
  <c r="D7" i="76"/>
  <c r="D8" i="76"/>
  <c r="D9" i="76"/>
  <c r="D10" i="76"/>
  <c r="K55" i="76" s="1"/>
  <c r="D11" i="76"/>
  <c r="L44" i="68"/>
  <c r="N44" i="68" s="1"/>
  <c r="H46" i="68"/>
  <c r="C38" i="69" s="1"/>
  <c r="E37" i="64"/>
  <c r="E43" i="64" s="1"/>
  <c r="N45" i="68"/>
  <c r="O45" i="68"/>
  <c r="N41" i="68"/>
  <c r="O41" i="68"/>
  <c r="M48" i="68"/>
  <c r="O13" i="68"/>
  <c r="C37" i="78"/>
  <c r="C43" i="78" s="1"/>
  <c r="E34" i="78" s="1"/>
  <c r="E35" i="78" s="1"/>
  <c r="C37" i="74"/>
  <c r="F31" i="61"/>
  <c r="F32" i="61" s="1"/>
  <c r="F34" i="61"/>
  <c r="F35" i="61" s="1"/>
  <c r="C43" i="61"/>
  <c r="E40" i="61" s="1"/>
  <c r="E41" i="61" s="1"/>
  <c r="K56" i="76"/>
  <c r="D10" i="75"/>
  <c r="D9" i="75"/>
  <c r="D7" i="75"/>
  <c r="D11" i="75"/>
  <c r="D12" i="75"/>
  <c r="D8" i="75"/>
  <c r="L43" i="70"/>
  <c r="N13" i="70"/>
  <c r="K63" i="77"/>
  <c r="C37" i="67"/>
  <c r="F47" i="66"/>
  <c r="D8" i="53"/>
  <c r="D12" i="53"/>
  <c r="D11" i="53"/>
  <c r="D7" i="53"/>
  <c r="D9" i="53"/>
  <c r="D13" i="53"/>
  <c r="D14" i="53"/>
  <c r="D10" i="53"/>
  <c r="F34" i="55"/>
  <c r="F35" i="55" s="1"/>
  <c r="C43" i="55"/>
  <c r="F30" i="55"/>
  <c r="F32" i="55" s="1"/>
  <c r="F47" i="68"/>
  <c r="C37" i="69"/>
  <c r="C37" i="71"/>
  <c r="F47" i="70"/>
  <c r="L44" i="66"/>
  <c r="N19" i="66"/>
  <c r="L43" i="68"/>
  <c r="O43" i="68" s="1"/>
  <c r="N13" i="68"/>
  <c r="C43" i="72"/>
  <c r="E40" i="72" s="1"/>
  <c r="E41" i="72" s="1"/>
  <c r="L44" i="51"/>
  <c r="N44" i="51" s="1"/>
  <c r="N19" i="51"/>
  <c r="L43" i="51"/>
  <c r="N13" i="51"/>
  <c r="F30" i="72"/>
  <c r="F34" i="72"/>
  <c r="F35" i="72" s="1"/>
  <c r="F31" i="72"/>
  <c r="C35" i="73"/>
  <c r="C37" i="73" s="1"/>
  <c r="E32" i="65"/>
  <c r="E37" i="65" s="1"/>
  <c r="E43" i="65" s="1"/>
  <c r="E37" i="57"/>
  <c r="E41" i="57"/>
  <c r="E35" i="57"/>
  <c r="E38" i="57"/>
  <c r="E36" i="57"/>
  <c r="E39" i="57"/>
  <c r="E40" i="57"/>
  <c r="K61" i="76" l="1"/>
  <c r="K41" i="76"/>
  <c r="K40" i="76"/>
  <c r="K46" i="76"/>
  <c r="K42" i="76"/>
  <c r="K28" i="76"/>
  <c r="K63" i="76" s="1"/>
  <c r="K62" i="76"/>
  <c r="F34" i="73"/>
  <c r="F35" i="73" s="1"/>
  <c r="C43" i="73"/>
  <c r="O44" i="68"/>
  <c r="F34" i="78"/>
  <c r="F30" i="78"/>
  <c r="F31" i="78"/>
  <c r="H31" i="78" s="1"/>
  <c r="E46" i="61"/>
  <c r="E44" i="61"/>
  <c r="E31" i="61"/>
  <c r="F34" i="74"/>
  <c r="F35" i="74" s="1"/>
  <c r="F31" i="74"/>
  <c r="F30" i="74"/>
  <c r="E34" i="61"/>
  <c r="E35" i="61" s="1"/>
  <c r="E31" i="78"/>
  <c r="E45" i="78"/>
  <c r="E46" i="78"/>
  <c r="E30" i="78"/>
  <c r="F37" i="61"/>
  <c r="E40" i="78"/>
  <c r="E41" i="78" s="1"/>
  <c r="E45" i="61"/>
  <c r="E30" i="61"/>
  <c r="E44" i="78"/>
  <c r="E34" i="72"/>
  <c r="E35" i="72" s="1"/>
  <c r="F37" i="55"/>
  <c r="E46" i="72"/>
  <c r="E44" i="72"/>
  <c r="E45" i="72"/>
  <c r="E30" i="72"/>
  <c r="E31" i="72"/>
  <c r="K42" i="75"/>
  <c r="K56" i="75"/>
  <c r="K62" i="75"/>
  <c r="K46" i="75"/>
  <c r="K41" i="75"/>
  <c r="K61" i="75"/>
  <c r="K40" i="75"/>
  <c r="K28" i="75"/>
  <c r="K55" i="75"/>
  <c r="L46" i="68"/>
  <c r="N43" i="68"/>
  <c r="E30" i="55"/>
  <c r="E40" i="55"/>
  <c r="E41" i="55" s="1"/>
  <c r="E34" i="55"/>
  <c r="E35" i="55" s="1"/>
  <c r="E31" i="55"/>
  <c r="L46" i="51"/>
  <c r="N46" i="51" s="1"/>
  <c r="N43" i="51"/>
  <c r="N44" i="66"/>
  <c r="L46" i="66"/>
  <c r="N46" i="66" s="1"/>
  <c r="K42" i="53"/>
  <c r="K61" i="53"/>
  <c r="K55" i="53"/>
  <c r="K41" i="53"/>
  <c r="K40" i="53"/>
  <c r="K56" i="53"/>
  <c r="K28" i="53"/>
  <c r="K62" i="53"/>
  <c r="K46" i="53"/>
  <c r="C43" i="67"/>
  <c r="E37" i="67" s="1"/>
  <c r="C43" i="71"/>
  <c r="E37" i="71" s="1"/>
  <c r="C43" i="69"/>
  <c r="E37" i="69" s="1"/>
  <c r="L46" i="70"/>
  <c r="N46" i="70" s="1"/>
  <c r="N43" i="70"/>
  <c r="H34" i="78"/>
  <c r="H35" i="78" s="1"/>
  <c r="F35" i="78"/>
  <c r="F32" i="72"/>
  <c r="F37" i="72" s="1"/>
  <c r="F30" i="73"/>
  <c r="F31" i="73"/>
  <c r="E43" i="57"/>
  <c r="F32" i="78" l="1"/>
  <c r="H30" i="78"/>
  <c r="E32" i="61"/>
  <c r="E37" i="61" s="1"/>
  <c r="E43" i="61" s="1"/>
  <c r="N46" i="68"/>
  <c r="O46" i="68"/>
  <c r="F32" i="74"/>
  <c r="F37" i="74" s="1"/>
  <c r="E32" i="78"/>
  <c r="E37" i="78" s="1"/>
  <c r="E43" i="78" s="1"/>
  <c r="E32" i="72"/>
  <c r="E37" i="72" s="1"/>
  <c r="E43" i="72" s="1"/>
  <c r="K63" i="75"/>
  <c r="E36" i="71"/>
  <c r="E35" i="71"/>
  <c r="E41" i="71"/>
  <c r="E39" i="71"/>
  <c r="E38" i="71"/>
  <c r="E40" i="71"/>
  <c r="F32" i="73"/>
  <c r="F37" i="73" s="1"/>
  <c r="E32" i="55"/>
  <c r="E37" i="55" s="1"/>
  <c r="E43" i="55" s="1"/>
  <c r="E35" i="67"/>
  <c r="E43" i="67" s="1"/>
  <c r="E40" i="67"/>
  <c r="E36" i="67"/>
  <c r="E41" i="67"/>
  <c r="E38" i="67"/>
  <c r="E39" i="67"/>
  <c r="E36" i="69"/>
  <c r="E40" i="69"/>
  <c r="E41" i="69"/>
  <c r="E39" i="69"/>
  <c r="E38" i="69"/>
  <c r="E35" i="69"/>
  <c r="K63" i="53"/>
  <c r="F37" i="78"/>
  <c r="H32" i="78"/>
  <c r="H37" i="78" s="1"/>
  <c r="E43" i="69" l="1"/>
  <c r="E43" i="71"/>
  <c r="O29" i="27" l="1"/>
  <c r="O32" i="27" s="1"/>
  <c r="N29" i="27"/>
  <c r="N32" i="27" s="1"/>
  <c r="M29" i="27" l="1"/>
  <c r="M32" i="27" s="1"/>
  <c r="O23" i="27"/>
  <c r="O31" i="27" s="1"/>
  <c r="O33" i="27" s="1"/>
  <c r="N23" i="27"/>
  <c r="N31" i="27" s="1"/>
  <c r="N33" i="27" s="1"/>
  <c r="M23" i="27" l="1"/>
  <c r="M31" i="27" s="1"/>
  <c r="M33" i="27" s="1"/>
  <c r="M21" i="43" l="1"/>
  <c r="E34" i="76"/>
  <c r="L26" i="43" l="1"/>
  <c r="M22" i="42"/>
  <c r="N26" i="43"/>
  <c r="M26" i="43"/>
  <c r="N21" i="43"/>
  <c r="E34" i="77"/>
  <c r="E30" i="75" l="1"/>
  <c r="E48" i="76"/>
  <c r="E34" i="75"/>
  <c r="M13" i="43"/>
  <c r="N22" i="42"/>
  <c r="E48" i="75"/>
  <c r="E48" i="77"/>
  <c r="L21" i="43"/>
  <c r="L13" i="43"/>
  <c r="L11" i="43"/>
  <c r="M11" i="43"/>
  <c r="E30" i="77"/>
  <c r="E30" i="76"/>
  <c r="N11" i="43"/>
  <c r="N12" i="42" l="1"/>
  <c r="L27" i="42"/>
  <c r="E34" i="53"/>
  <c r="L22" i="42"/>
  <c r="M27" i="42"/>
  <c r="L12" i="42"/>
  <c r="E30" i="53"/>
  <c r="E32" i="75"/>
  <c r="N27" i="42"/>
  <c r="E48" i="53"/>
  <c r="E32" i="76"/>
  <c r="M12" i="42"/>
  <c r="L14" i="42" l="1"/>
  <c r="E32" i="53"/>
  <c r="M14" i="42"/>
  <c r="N13" i="43" l="1"/>
  <c r="E32" i="77" l="1"/>
  <c r="N14" i="42" l="1"/>
  <c r="M19" i="43" l="1"/>
  <c r="N19" i="43" l="1"/>
  <c r="L19" i="43"/>
  <c r="E33" i="76" l="1"/>
  <c r="E33" i="77"/>
  <c r="E33" i="75" l="1"/>
  <c r="N20" i="42"/>
  <c r="M20" i="42"/>
  <c r="L20" i="42" l="1"/>
  <c r="E33" i="53"/>
  <c r="N27" i="43" l="1"/>
  <c r="M27" i="43"/>
  <c r="E49" i="76"/>
  <c r="M28" i="42" l="1"/>
  <c r="E49" i="75"/>
  <c r="E49" i="77"/>
  <c r="L27" i="43"/>
  <c r="L28" i="42" l="1"/>
  <c r="E49" i="53"/>
  <c r="N28" i="42"/>
  <c r="N12" i="43" l="1"/>
  <c r="O22" i="14"/>
  <c r="O30" i="14" l="1"/>
  <c r="N22" i="43"/>
  <c r="N30" i="43" s="1"/>
  <c r="E31" i="77"/>
  <c r="N13" i="42" l="1"/>
  <c r="O22" i="28"/>
  <c r="N23" i="42" l="1"/>
  <c r="N31" i="42" s="1"/>
  <c r="O30" i="28"/>
  <c r="E35" i="77"/>
  <c r="I33" i="77"/>
  <c r="I40" i="77" s="1"/>
  <c r="E37" i="77" l="1"/>
  <c r="G30" i="77" l="1"/>
  <c r="G34" i="77"/>
  <c r="G32" i="77"/>
  <c r="G33" i="77"/>
  <c r="G31" i="77"/>
  <c r="M12" i="43" l="1"/>
  <c r="N22" i="14"/>
  <c r="E31" i="76"/>
  <c r="L12" i="43" l="1"/>
  <c r="M22" i="14"/>
  <c r="E31" i="75"/>
  <c r="M22" i="43"/>
  <c r="M30" i="43" s="1"/>
  <c r="N30" i="14"/>
  <c r="M13" i="42"/>
  <c r="N22" i="28"/>
  <c r="E35" i="76" l="1"/>
  <c r="E31" i="53"/>
  <c r="L13" i="42"/>
  <c r="M22" i="28"/>
  <c r="M30" i="14"/>
  <c r="L22" i="43"/>
  <c r="L30" i="43" s="1"/>
  <c r="M23" i="42"/>
  <c r="M31" i="42" s="1"/>
  <c r="N30" i="28"/>
  <c r="I33" i="76"/>
  <c r="I40" i="76" s="1"/>
  <c r="E35" i="75" l="1"/>
  <c r="E37" i="76"/>
  <c r="L23" i="42"/>
  <c r="L31" i="42" s="1"/>
  <c r="M30" i="28"/>
  <c r="I33" i="75"/>
  <c r="I40" i="75" s="1"/>
  <c r="E35" i="53"/>
  <c r="E37" i="53" s="1"/>
  <c r="G34" i="76" l="1"/>
  <c r="G30" i="76"/>
  <c r="G32" i="76"/>
  <c r="G33" i="76"/>
  <c r="G31" i="76"/>
  <c r="G34" i="53"/>
  <c r="G30" i="53"/>
  <c r="G32" i="53"/>
  <c r="G33" i="53"/>
  <c r="G31" i="53"/>
  <c r="E37" i="75"/>
  <c r="G30" i="75" l="1"/>
  <c r="G34" i="75"/>
  <c r="G32" i="75"/>
  <c r="G33" i="75"/>
  <c r="G31" i="75"/>
  <c r="L25" i="43" l="1"/>
  <c r="M25" i="43" l="1"/>
  <c r="E47" i="75"/>
  <c r="E47" i="77"/>
  <c r="N25" i="43"/>
  <c r="E47" i="76" l="1"/>
  <c r="L26" i="42"/>
  <c r="E47" i="53"/>
  <c r="N26" i="42"/>
  <c r="M26" i="42" l="1"/>
  <c r="E46" i="76" l="1"/>
  <c r="M24" i="43" l="1"/>
  <c r="N28" i="14"/>
  <c r="M25" i="42"/>
  <c r="N28" i="28"/>
  <c r="N24" i="43"/>
  <c r="O28" i="14"/>
  <c r="E46" i="77"/>
  <c r="L24" i="43" l="1"/>
  <c r="M28" i="14"/>
  <c r="M29" i="42"/>
  <c r="M32" i="42" s="1"/>
  <c r="N31" i="28"/>
  <c r="N32" i="28" s="1"/>
  <c r="M33" i="42" s="1"/>
  <c r="E50" i="76"/>
  <c r="E46" i="75"/>
  <c r="N25" i="42"/>
  <c r="E46" i="53"/>
  <c r="O28" i="28"/>
  <c r="N31" i="14"/>
  <c r="N32" i="14" s="1"/>
  <c r="M32" i="43" s="1"/>
  <c r="M28" i="43"/>
  <c r="M31" i="43" s="1"/>
  <c r="N28" i="43"/>
  <c r="N31" i="43" s="1"/>
  <c r="O31" i="14"/>
  <c r="O32" i="14" s="1"/>
  <c r="N32" i="43" s="1"/>
  <c r="L25" i="42" l="1"/>
  <c r="E50" i="75"/>
  <c r="M28" i="28"/>
  <c r="N29" i="42"/>
  <c r="N32" i="42" s="1"/>
  <c r="O31" i="28"/>
  <c r="O32" i="28" s="1"/>
  <c r="N33" i="42" s="1"/>
  <c r="E50" i="53"/>
  <c r="E52" i="53" s="1"/>
  <c r="G46" i="53" s="1"/>
  <c r="L28" i="43"/>
  <c r="L31" i="43" s="1"/>
  <c r="M31" i="14"/>
  <c r="M32" i="14" s="1"/>
  <c r="L32" i="43" s="1"/>
  <c r="E50" i="77"/>
  <c r="I48" i="76" l="1"/>
  <c r="I55" i="76"/>
  <c r="G47" i="53"/>
  <c r="G48" i="53"/>
  <c r="G49" i="53"/>
  <c r="E52" i="75"/>
  <c r="I55" i="77"/>
  <c r="I48" i="77"/>
  <c r="E52" i="76"/>
  <c r="E52" i="77"/>
  <c r="L29" i="42"/>
  <c r="L32" i="42" s="1"/>
  <c r="M31" i="28"/>
  <c r="M32" i="28" s="1"/>
  <c r="L33" i="42" s="1"/>
  <c r="I48" i="75" l="1"/>
  <c r="G48" i="75" s="1"/>
  <c r="I55" i="75"/>
  <c r="G48" i="77"/>
  <c r="G49" i="77"/>
  <c r="G47" i="77"/>
  <c r="G46" i="77"/>
  <c r="G48" i="76"/>
  <c r="G49" i="76"/>
  <c r="G47" i="76"/>
  <c r="G46" i="76"/>
  <c r="G47" i="75" l="1"/>
  <c r="G49" i="75"/>
  <c r="G46" i="75"/>
  <c r="Z54" i="44" l="1"/>
  <c r="Z55" i="44" s="1"/>
  <c r="V49" i="44"/>
  <c r="V50" i="44" s="1"/>
  <c r="Q49" i="44"/>
  <c r="R49" i="44"/>
  <c r="R50" i="44" s="1"/>
  <c r="U49" i="44"/>
  <c r="U54" i="44" s="1"/>
  <c r="U55" i="44" s="1"/>
  <c r="C45" i="74" s="1"/>
  <c r="Y50" i="44"/>
  <c r="AA49" i="44" l="1"/>
  <c r="AA54" i="44" s="1"/>
  <c r="AA55" i="44" s="1"/>
  <c r="S49" i="44"/>
  <c r="Q54" i="44"/>
  <c r="Q55" i="44" s="1"/>
  <c r="Y54" i="44"/>
  <c r="Y55" i="44" s="1"/>
  <c r="Z50" i="44"/>
  <c r="R54" i="44"/>
  <c r="R55" i="44" s="1"/>
  <c r="S54" i="44"/>
  <c r="S50" i="44"/>
  <c r="Q50" i="44"/>
  <c r="W49" i="44"/>
  <c r="V54" i="44"/>
  <c r="V55" i="44" s="1"/>
  <c r="C46" i="74" s="1"/>
  <c r="U50" i="44"/>
  <c r="AA50" i="44" l="1"/>
  <c r="W50" i="44"/>
  <c r="W54" i="44"/>
  <c r="S55" i="44"/>
  <c r="W55" i="44" l="1"/>
  <c r="C40" i="74"/>
  <c r="C41" i="73"/>
  <c r="E40" i="73" s="1"/>
  <c r="E41" i="73" s="1"/>
  <c r="C41" i="74" l="1"/>
  <c r="E34" i="73"/>
  <c r="E35" i="73" s="1"/>
  <c r="E44" i="73"/>
  <c r="E31" i="73"/>
  <c r="E30" i="73"/>
  <c r="E45" i="73"/>
  <c r="E46" i="73"/>
  <c r="E32" i="73" l="1"/>
  <c r="E37" i="73"/>
  <c r="E43" i="73" s="1"/>
  <c r="E31" i="74"/>
  <c r="E44" i="74"/>
  <c r="E30" i="74"/>
  <c r="E34" i="74"/>
  <c r="E35" i="74" s="1"/>
  <c r="E45" i="74"/>
  <c r="E46" i="74"/>
  <c r="E40" i="74"/>
  <c r="E41" i="74" s="1"/>
  <c r="E32" i="74" l="1"/>
  <c r="E37" i="74" s="1"/>
  <c r="E43" i="74" s="1"/>
</calcChain>
</file>

<file path=xl/sharedStrings.xml><?xml version="1.0" encoding="utf-8"?>
<sst xmlns="http://schemas.openxmlformats.org/spreadsheetml/2006/main" count="1654" uniqueCount="367">
  <si>
    <t>r</t>
  </si>
  <si>
    <t>COMMERCIAL &amp; INDUSTRIAL</t>
  </si>
  <si>
    <t>c</t>
  </si>
  <si>
    <t>OTHER - PROGRAMS/REQUIREMENTS</t>
  </si>
  <si>
    <t>o</t>
  </si>
  <si>
    <t xml:space="preserve"> </t>
  </si>
  <si>
    <t xml:space="preserve">                    Residential </t>
  </si>
  <si>
    <t xml:space="preserve">                    C&amp;I</t>
  </si>
  <si>
    <t xml:space="preserve">RESIDENTIAL </t>
  </si>
  <si>
    <t xml:space="preserve">    Residential New Construction </t>
  </si>
  <si>
    <t xml:space="preserve">    Energy Conscious Blueprint </t>
  </si>
  <si>
    <t>Small Business</t>
  </si>
  <si>
    <t xml:space="preserve">OTHER - ADMINISTRATIVE &amp; PLANNING </t>
  </si>
  <si>
    <t xml:space="preserve">    Administration </t>
  </si>
  <si>
    <t xml:space="preserve">    Marketing Plan </t>
  </si>
  <si>
    <t xml:space="preserve">    Information Technology </t>
  </si>
  <si>
    <t xml:space="preserve">    Planning</t>
  </si>
  <si>
    <t xml:space="preserve">PROGRAM SUBTOTALS </t>
  </si>
  <si>
    <t xml:space="preserve">                    Other</t>
  </si>
  <si>
    <t xml:space="preserve"> TOTAL    </t>
  </si>
  <si>
    <t>Table A</t>
  </si>
  <si>
    <t xml:space="preserve"> Table C</t>
  </si>
  <si>
    <t>Labor</t>
  </si>
  <si>
    <t>Materials
 &amp; 
Supplies</t>
  </si>
  <si>
    <t>Outside Services</t>
  </si>
  <si>
    <t>Incentives</t>
  </si>
  <si>
    <t>Marketing</t>
  </si>
  <si>
    <t>Administrative Expenses</t>
  </si>
  <si>
    <t>TOTAL</t>
  </si>
  <si>
    <t>RESIDENTIAL</t>
  </si>
  <si>
    <t xml:space="preserve">    Energy Conscious Blueprint</t>
  </si>
  <si>
    <t xml:space="preserve">   Energy Opportunities</t>
  </si>
  <si>
    <t xml:space="preserve">OTHER - PROGRAMS/REQUIREMENTS </t>
  </si>
  <si>
    <t>OTHER - ADMINISTRATIVE &amp; PLANNING</t>
  </si>
  <si>
    <t xml:space="preserve">       Subtotal Other</t>
  </si>
  <si>
    <t>PROGRAM SUBTOTALS</t>
  </si>
  <si>
    <t>TOTAL BUDGET</t>
  </si>
  <si>
    <t>Budget By Expense Class</t>
  </si>
  <si>
    <t>Expense Classes</t>
  </si>
  <si>
    <t>Budget</t>
  </si>
  <si>
    <t>% of Budget</t>
  </si>
  <si>
    <t>Materials &amp; Supplies</t>
  </si>
  <si>
    <t>Total</t>
  </si>
  <si>
    <t xml:space="preserve">    Research, Development  and Demonstration</t>
  </si>
  <si>
    <t>Table A1</t>
  </si>
  <si>
    <t>CNG</t>
  </si>
  <si>
    <t>SCG</t>
  </si>
  <si>
    <t>Combined</t>
  </si>
  <si>
    <t xml:space="preserve">   Energy Opportunities </t>
  </si>
  <si>
    <t>r8c2</t>
  </si>
  <si>
    <t>Table A1 Pie Chart</t>
  </si>
  <si>
    <t>Customer Class</t>
  </si>
  <si>
    <t>Res. Income Eligible</t>
  </si>
  <si>
    <t>Res. Non Income Eligible</t>
  </si>
  <si>
    <t xml:space="preserve"> Residential Subtotal</t>
  </si>
  <si>
    <t>Commercial and Industrial</t>
  </si>
  <si>
    <t>C&amp;I Subtotal</t>
  </si>
  <si>
    <t>Residential and C&amp;I Subtotal</t>
  </si>
  <si>
    <t>Other Expenditures</t>
  </si>
  <si>
    <t>Other Expenditures Subtotal</t>
  </si>
  <si>
    <t>Table D1</t>
  </si>
  <si>
    <t xml:space="preserve">Natural Gas Conservation Plan Actual/Budget    </t>
  </si>
  <si>
    <t>Actual</t>
  </si>
  <si>
    <t xml:space="preserve">    Window Rebate</t>
  </si>
  <si>
    <t xml:space="preserve">Total </t>
  </si>
  <si>
    <t>-Performance Incentive Illustration-</t>
  </si>
  <si>
    <t>Pretax Incentive</t>
  </si>
  <si>
    <t xml:space="preserve">Pre-tax Incentive  </t>
  </si>
  <si>
    <t>SECTOR</t>
  </si>
  <si>
    <t>Performance Indicators</t>
  </si>
  <si>
    <t>Incentive Metrics</t>
  </si>
  <si>
    <t>Program</t>
  </si>
  <si>
    <t>Incentive Metric</t>
  </si>
  <si>
    <t>Target Goal</t>
  </si>
  <si>
    <t>Weight</t>
  </si>
  <si>
    <t>Incentive</t>
  </si>
  <si>
    <t xml:space="preserve">Program Name  </t>
  </si>
  <si>
    <t>LT-CCF</t>
  </si>
  <si>
    <t>%  (1)</t>
  </si>
  <si>
    <t xml:space="preserve">   Total</t>
  </si>
  <si>
    <t xml:space="preserve">Savings Rate </t>
  </si>
  <si>
    <t xml:space="preserve">Savings </t>
  </si>
  <si>
    <t>(1) percent of target goal</t>
  </si>
  <si>
    <t>COMMERCIAL &amp; INDUSTRIAL (C&amp;I)</t>
  </si>
  <si>
    <t xml:space="preserve">C&amp;I Programs (Sector Level) Sector Budget </t>
  </si>
  <si>
    <t>Energy Conscious Blueprint</t>
  </si>
  <si>
    <t>Energy Opportunities</t>
  </si>
  <si>
    <t>/ CCF</t>
  </si>
  <si>
    <t>Table D2</t>
  </si>
  <si>
    <t>Table D4</t>
  </si>
  <si>
    <t>Table A2</t>
  </si>
  <si>
    <t>Revenues</t>
  </si>
  <si>
    <t xml:space="preserve">    Conservation Adjustment Mechanism (CAM)</t>
  </si>
  <si>
    <t xml:space="preserve">        Total Revenues</t>
  </si>
  <si>
    <t xml:space="preserve">   Energy Conscious Blueprint </t>
  </si>
  <si>
    <t xml:space="preserve">   Energy Opportunities  </t>
  </si>
  <si>
    <t>Home Energy Solutions</t>
  </si>
  <si>
    <t>CCF/home</t>
  </si>
  <si>
    <t xml:space="preserve"> Annual CCF Savings</t>
  </si>
  <si>
    <t>Annual CCF savings</t>
  </si>
  <si>
    <t>Gas System Benefit from C&amp;I programs</t>
  </si>
  <si>
    <t xml:space="preserve">COMMERCIAL &amp; INDUSTRIAL </t>
  </si>
  <si>
    <t>Eversource CT Gas</t>
  </si>
  <si>
    <t>Eversource CT Gas/CNG/SCG</t>
  </si>
  <si>
    <t xml:space="preserve">EVERSOURCE CT GAS, CNG &amp; SCG </t>
  </si>
  <si>
    <t>Eversource CT Gas Service Company</t>
  </si>
  <si>
    <t xml:space="preserve">Eversource CT Gas </t>
  </si>
  <si>
    <t>Other</t>
  </si>
  <si>
    <t xml:space="preserve">    Residential Loan Program (includes ECLF and OBR)</t>
  </si>
  <si>
    <t>Contractor Labor</t>
  </si>
  <si>
    <t xml:space="preserve">Eversource CT Gas - Expenditure </t>
  </si>
  <si>
    <t>Eversource CT Gas - Annual Savings (CCF)</t>
  </si>
  <si>
    <t>Eversource CT Gas - Lifetime Savings (CCF)</t>
  </si>
  <si>
    <t>Eversource CT Gas - Units</t>
  </si>
  <si>
    <t>Eversource CT Gas Company</t>
  </si>
  <si>
    <t>Table D3</t>
  </si>
  <si>
    <t>Proposed</t>
  </si>
  <si>
    <t xml:space="preserve">Actual </t>
  </si>
  <si>
    <t xml:space="preserve">Eversource CT Gas - Cost per Annual Savings (CCF) </t>
  </si>
  <si>
    <t xml:space="preserve">Eversource CT Gas - Cost per Lifetime Savings (CCF) </t>
  </si>
  <si>
    <t xml:space="preserve">    Research, Development and Demonstration</t>
  </si>
  <si>
    <t xml:space="preserve">    C&amp;I Financing Support</t>
  </si>
  <si>
    <t xml:space="preserve"> Small Business</t>
  </si>
  <si>
    <t xml:space="preserve">    Energy Opportunities </t>
  </si>
  <si>
    <t xml:space="preserve">    Residential Behavior</t>
  </si>
  <si>
    <t>r5c5</t>
  </si>
  <si>
    <t xml:space="preserve">   Residential New Construction </t>
  </si>
  <si>
    <t xml:space="preserve">   Water Heating </t>
  </si>
  <si>
    <t xml:space="preserve">   Small Business</t>
  </si>
  <si>
    <t xml:space="preserve">   SmartLiving Center®-Museums Partnership </t>
  </si>
  <si>
    <t xml:space="preserve">   ESPC Project Manager - Lead By Example</t>
  </si>
  <si>
    <t xml:space="preserve">   C&amp;I Loan Program</t>
  </si>
  <si>
    <t xml:space="preserve">   Research, Development  and Demonstration</t>
  </si>
  <si>
    <t xml:space="preserve">   Window Rebate</t>
  </si>
  <si>
    <t xml:space="preserve">   HES Early Retirement Furnace Rebate</t>
  </si>
  <si>
    <t xml:space="preserve">   Insulation Rebate</t>
  </si>
  <si>
    <t xml:space="preserve">   </t>
  </si>
  <si>
    <t>Table D</t>
  </si>
  <si>
    <t>Natural Gas EE Revenues</t>
  </si>
  <si>
    <t xml:space="preserve">Eversource CT Gas EE Budget </t>
  </si>
  <si>
    <t xml:space="preserve">Natural Gas EE Actual/Budget </t>
  </si>
  <si>
    <t>ES CT Gas</t>
  </si>
  <si>
    <t xml:space="preserve">    Home Energy Solutions - Core Services</t>
  </si>
  <si>
    <t xml:space="preserve">    Home Energy Solutions - HVAC, Water Heaters</t>
  </si>
  <si>
    <t xml:space="preserve">   EE Loan Defaults</t>
  </si>
  <si>
    <t xml:space="preserve">Eversource CT Gas EE BUDGET </t>
  </si>
  <si>
    <t>% of Total Budget</t>
  </si>
  <si>
    <t xml:space="preserve">    Evaluation Administrator</t>
  </si>
  <si>
    <t xml:space="preserve">    Energy Efficiency Board Consultants</t>
  </si>
  <si>
    <t xml:space="preserve">    Performance Management Incentive (PMI)</t>
  </si>
  <si>
    <t xml:space="preserve">    Evaluation Measurement and Verification</t>
  </si>
  <si>
    <t xml:space="preserve">    Audits - Financial and Operational</t>
  </si>
  <si>
    <t>Table A Pie Sector Allocation</t>
  </si>
  <si>
    <t>Residential</t>
  </si>
  <si>
    <t>C&amp;I</t>
  </si>
  <si>
    <t xml:space="preserve">   Residential Loan Program</t>
  </si>
  <si>
    <t xml:space="preserve">   C&amp;I Financing Support</t>
  </si>
  <si>
    <t xml:space="preserve">   Research, Development &amp; Demonstration</t>
  </si>
  <si>
    <t xml:space="preserve">   Administration</t>
  </si>
  <si>
    <t xml:space="preserve">   Marketing Plan</t>
  </si>
  <si>
    <t xml:space="preserve">   Planning </t>
  </si>
  <si>
    <t xml:space="preserve">   Evaluation Measurement and Verification</t>
  </si>
  <si>
    <t xml:space="preserve">   Evaluation Administrator</t>
  </si>
  <si>
    <t xml:space="preserve">   Information Technology</t>
  </si>
  <si>
    <t xml:space="preserve">   Energy Efficiency Board Consultants</t>
  </si>
  <si>
    <t xml:space="preserve">   Audit - Financial and Operational</t>
  </si>
  <si>
    <t xml:space="preserve">   Performance Management Incentive</t>
  </si>
  <si>
    <t>Sector</t>
  </si>
  <si>
    <t>%</t>
  </si>
  <si>
    <t xml:space="preserve">  HES-IE</t>
  </si>
  <si>
    <t xml:space="preserve">  Residential Loan Program</t>
  </si>
  <si>
    <t xml:space="preserve">  Residential New Construction</t>
  </si>
  <si>
    <t xml:space="preserve">  Residential Behavior</t>
  </si>
  <si>
    <t xml:space="preserve">  Educate the Public</t>
  </si>
  <si>
    <t xml:space="preserve">  Customer Engagement</t>
  </si>
  <si>
    <t xml:space="preserve">  Educate the Student</t>
  </si>
  <si>
    <t xml:space="preserve">  Educate the Workforce</t>
  </si>
  <si>
    <t xml:space="preserve">  Demand Response - Residential Pilot Program</t>
  </si>
  <si>
    <t xml:space="preserve">  Marketing Plan</t>
  </si>
  <si>
    <t>Commercial &amp; Industrial</t>
  </si>
  <si>
    <t xml:space="preserve">  C&amp;I Financing Support</t>
  </si>
  <si>
    <t xml:space="preserve">  Demand Response</t>
  </si>
  <si>
    <t xml:space="preserve">  Research, Development, Demonstration</t>
  </si>
  <si>
    <t xml:space="preserve">  Administration</t>
  </si>
  <si>
    <t xml:space="preserve">  Planning</t>
  </si>
  <si>
    <t xml:space="preserve">  Evaluation Measurement and Verification</t>
  </si>
  <si>
    <t xml:space="preserve">  Evaluation Administrator</t>
  </si>
  <si>
    <t xml:space="preserve">  Information Technology</t>
  </si>
  <si>
    <t xml:space="preserve">  Energy Efficiency Board Consultants</t>
  </si>
  <si>
    <t xml:space="preserve">  Audit - Financial and Operational</t>
  </si>
  <si>
    <t xml:space="preserve">  Performance Management Incentive</t>
  </si>
  <si>
    <t>EE TOTAL</t>
  </si>
  <si>
    <t xml:space="preserve">Budget*    </t>
  </si>
  <si>
    <t>EVERSOURCE CT GAS</t>
  </si>
  <si>
    <t xml:space="preserve">   Residential Behavior </t>
  </si>
  <si>
    <t xml:space="preserve">   Residential Behavior</t>
  </si>
  <si>
    <t xml:space="preserve">    C&amp;I Financing Support </t>
  </si>
  <si>
    <t>HES - Income Eligible</t>
  </si>
  <si>
    <t>New Construction</t>
  </si>
  <si>
    <t>Business and Energy Sustainability</t>
  </si>
  <si>
    <t>OTHER - EDUCATION &amp; ENGAGEMENT</t>
  </si>
  <si>
    <t>Results</t>
  </si>
  <si>
    <t>Table D5</t>
  </si>
  <si>
    <t xml:space="preserve">    Prior Period Over/(Under) Collections</t>
  </si>
  <si>
    <t xml:space="preserve">    Prior Period Under/(Over) Budget</t>
  </si>
  <si>
    <t xml:space="preserve">2021 Gas Conservation </t>
  </si>
  <si>
    <t xml:space="preserve">2021 Management Incentive Performance Indicators and Incentive Matrix </t>
  </si>
  <si>
    <t>Eversource CT Gas 2021 EE Budget Details</t>
  </si>
  <si>
    <t>Statewide 2021 Update Budget Analysis</t>
  </si>
  <si>
    <t>Goals</t>
  </si>
  <si>
    <t>HVAC</t>
  </si>
  <si>
    <t>Behavior</t>
  </si>
  <si>
    <t xml:space="preserve">Natural Gas EE Budget </t>
  </si>
  <si>
    <t xml:space="preserve">        Subtotal: Residential EE Portfolio</t>
  </si>
  <si>
    <t xml:space="preserve">      Subtotal: C&amp;I EE Portfolio</t>
  </si>
  <si>
    <t xml:space="preserve">      Subtotal: Education &amp; Engagement</t>
  </si>
  <si>
    <t xml:space="preserve">      Subtotal: Programs/Requirements</t>
  </si>
  <si>
    <t xml:space="preserve">      Subtotal: Other - Administrative &amp; Planning</t>
  </si>
  <si>
    <t xml:space="preserve">    TOTAL    </t>
  </si>
  <si>
    <t xml:space="preserve">    HES-Income Eligible</t>
  </si>
  <si>
    <t xml:space="preserve">    Residential Loan Program 
    (includes ECLF and OBR)</t>
  </si>
  <si>
    <t>% of Residential and C&amp;I Budget</t>
  </si>
  <si>
    <t>Res. Income-Eligible</t>
  </si>
  <si>
    <t>Res. Non Income-Eligible</t>
  </si>
  <si>
    <t xml:space="preserve">All Figures are net of GET. All Companies are decoupled. 
</t>
  </si>
  <si>
    <t xml:space="preserve">   Business &amp; Energy Sustainability 
   (O&amp;M, RCx, BSC, CSP/SEM)</t>
  </si>
  <si>
    <t xml:space="preserve">      Subtotal: Programs/Requirements </t>
  </si>
  <si>
    <t xml:space="preserve">        Subtotal: C&amp;I EE Portfolio</t>
  </si>
  <si>
    <t xml:space="preserve">        Subtotal: Education &amp; Engagement</t>
  </si>
  <si>
    <t xml:space="preserve">        Subtotal: Programs/Requirements</t>
  </si>
  <si>
    <t xml:space="preserve">   HES-Income Eligible </t>
  </si>
  <si>
    <t xml:space="preserve">   Clean Energy Communities/Behavior Pilot</t>
  </si>
  <si>
    <t xml:space="preserve">   Institute for Sustainable Energy 
   (moved to Educate the Workforce)</t>
  </si>
  <si>
    <r>
      <t xml:space="preserve">      </t>
    </r>
    <r>
      <rPr>
        <b/>
        <sz val="14"/>
        <rFont val="Arial"/>
        <family val="2"/>
      </rPr>
      <t>Home Energy Solution (HES) - Total</t>
    </r>
  </si>
  <si>
    <t xml:space="preserve">      Subtotal: C&amp;I EE Portfolio </t>
  </si>
  <si>
    <t xml:space="preserve">   Res High-Eff Natural Gas Furnace 
   Replace Rebate</t>
  </si>
  <si>
    <r>
      <t xml:space="preserve">       </t>
    </r>
    <r>
      <rPr>
        <b/>
        <sz val="14"/>
        <rFont val="Arial"/>
        <family val="2"/>
      </rPr>
      <t>Home Energy Solution (HES) - Total</t>
    </r>
  </si>
  <si>
    <t xml:space="preserve">   Business &amp; Energy Sustainability 
  (O&amp;M, RCx, BSC, CSP/SEM)</t>
  </si>
  <si>
    <t xml:space="preserve">   eesmarts/K-12</t>
  </si>
  <si>
    <t xml:space="preserve">   HES-Income Eligible</t>
  </si>
  <si>
    <t>Performance %
Minimum</t>
  </si>
  <si>
    <t>Net Residential 
Gas Benefit:</t>
  </si>
  <si>
    <r>
      <t xml:space="preserve">% </t>
    </r>
    <r>
      <rPr>
        <sz val="14"/>
        <rFont val="Arial"/>
        <family val="2"/>
      </rPr>
      <t>of 
Gas Projects</t>
    </r>
  </si>
  <si>
    <t xml:space="preserve">
Sum of Gas System Benefit from Residential programs</t>
  </si>
  <si>
    <t xml:space="preserve">
Gas System Benefit from Residential programs</t>
  </si>
  <si>
    <t xml:space="preserve">Goals will be prorated based on 
actual over/under spend of budget. </t>
  </si>
  <si>
    <t xml:space="preserve">Residential Programs
 (Sector Level) Sector Budget </t>
  </si>
  <si>
    <t>HES-Income 
Eligible</t>
  </si>
  <si>
    <t>Net C&amp;I 
Gas System Benefit:</t>
  </si>
  <si>
    <t>Energy Conscious Blueprint /
Energy Opportunities</t>
  </si>
  <si>
    <t xml:space="preserve">
Total Gas 
System Benefit from C&amp;I programs</t>
  </si>
  <si>
    <t>Maximum 
Budget</t>
  </si>
  <si>
    <t xml:space="preserve">EVERSOURCE CT GAS, CNG, and SCG </t>
  </si>
  <si>
    <t xml:space="preserve">Eversource CT Gas 
2021 Budget Analysis   </t>
  </si>
  <si>
    <t xml:space="preserve">   Residential Loan Program 
   (includes ECLF and OBR)</t>
  </si>
  <si>
    <t xml:space="preserve">    Interest Due to Company/Other Revenues</t>
  </si>
  <si>
    <t>Totals may vary due to rounding.</t>
  </si>
  <si>
    <t>*Please see attached Budget Allocation Table.</t>
  </si>
  <si>
    <r>
      <t xml:space="preserve">Eversource CT Gas and the EEB recognize that having clear indicators and metrics of performance are helpful in delivering quality programs to Connecticut consumers. The following is a table of performance and incentive metrics developed by the Companies with input from the EEB, the EEB's consultants and DEEP. These performance and incentive metrics apply to the programs delineated in the 2019-2021 Plan. The projected Eversource CT Gas Performance Incentive is </t>
    </r>
    <r>
      <rPr>
        <b/>
        <sz val="14"/>
        <rFont val="Arial"/>
        <family val="2"/>
      </rPr>
      <t xml:space="preserve">$888,370 </t>
    </r>
    <r>
      <rPr>
        <sz val="14"/>
        <rFont val="Arial"/>
        <family val="2"/>
      </rPr>
      <t xml:space="preserve">and is based on achieving </t>
    </r>
    <r>
      <rPr>
        <b/>
        <sz val="14"/>
        <rFont val="Arial"/>
        <family val="2"/>
      </rPr>
      <t>100%</t>
    </r>
    <r>
      <rPr>
        <sz val="14"/>
        <rFont val="Arial"/>
        <family val="2"/>
      </rPr>
      <t xml:space="preserve"> of all performance targets and earning an incentive of</t>
    </r>
    <r>
      <rPr>
        <b/>
        <sz val="14"/>
        <rFont val="Arial"/>
        <family val="2"/>
      </rPr>
      <t xml:space="preserve"> 4.5%</t>
    </r>
    <r>
      <rPr>
        <sz val="14"/>
        <rFont val="Arial"/>
        <family val="2"/>
      </rPr>
      <t xml:space="preserve"> of the total EE program budget of</t>
    </r>
    <r>
      <rPr>
        <b/>
        <sz val="14"/>
        <rFont val="Arial"/>
        <family val="2"/>
      </rPr>
      <t xml:space="preserve"> $19,741,553 </t>
    </r>
    <r>
      <rPr>
        <sz val="14"/>
        <rFont val="Arial"/>
        <family val="2"/>
      </rPr>
      <t>as shown on Table A (exclusive of EEB costs, Evaluation Consultant costs, Management incentives and Audit costs). The actual earned amount will be calculated on a sliding scale based on the percent of goal achieved and the actual total expenditures, based on the following performance range:</t>
    </r>
  </si>
  <si>
    <t>Achieve CCF savings per single-family home. 
Based on 2020 actuals adjusted to 2021 CT PSD plus 2.0% (156.60*102%).</t>
  </si>
  <si>
    <t>Achieve 159.73 CCF savings/
single-family home</t>
  </si>
  <si>
    <t>70% of 
signed projects</t>
  </si>
  <si>
    <t>36% of 
signed projects</t>
  </si>
  <si>
    <t>Evaluation</t>
  </si>
  <si>
    <t xml:space="preserve">Timely turnaround on purchase orders and Evaluation Data requests based on agreed upon timelines for each study.  Sliding scale as noted in the PMI exhibit - with 100% of goal achievement based on 90% of the data requests and purchase orders being completed on time.  </t>
  </si>
  <si>
    <t>Timely turnaround</t>
  </si>
  <si>
    <t>Based on 90% of data request and purchase orders</t>
  </si>
  <si>
    <t>Total Incentives</t>
  </si>
  <si>
    <t>Develop and implement comprehensive offerings. Offerings will consist of a tailored combination of measures and service bundles, technical assistance for SEM, benchmarking and financing where appropriate (especially for high-cost, long payback measures). Calculated as signed projects that included comprehensive 
offerings at time of offering/all signed projects (excluding rebates). Comprehensive shall be defined as including at least one end
 use with BES counting as more than one end use. 
Based on 2020 Actual Results plus 5% (65%+5%) .</t>
  </si>
  <si>
    <t>Develop and implement comprehensive offerings. Offerings will consist of a tailored combination of measure and service bundles, energy management, and financing where appropriate (especially 
for high-cost, long payback measures). Calculated as signed 
projects that included comprehensive offerings at time of 
offering/all signed projects (excluding rebates). Comprehensive 
shall be defined as including more than one end use. Based on 
2020 Actual Results plus 5% (31%+5%).</t>
  </si>
  <si>
    <t>2021 - 2024 Natural Gas Revenues</t>
  </si>
  <si>
    <t>Table A2 - Table A</t>
  </si>
  <si>
    <t>Total Spending less PI, EA, EEB, Audit</t>
  </si>
  <si>
    <t>PI calculation</t>
  </si>
  <si>
    <t>Total Spending less PI</t>
  </si>
  <si>
    <t xml:space="preserve">    Home Energy Solutions </t>
  </si>
  <si>
    <t xml:space="preserve">   Business &amp; Energy Sustainability 
   (O&amp;M, RCx, CSP/SEM)</t>
  </si>
  <si>
    <t>Community Outreach</t>
  </si>
  <si>
    <t>Customer Engagement Initiative</t>
  </si>
  <si>
    <t>Energy Education</t>
  </si>
  <si>
    <t>Workforce Development</t>
  </si>
  <si>
    <t>old order</t>
  </si>
  <si>
    <t>old line</t>
  </si>
  <si>
    <t>New Order</t>
  </si>
  <si>
    <t>new line</t>
  </si>
  <si>
    <t xml:space="preserve">   Energy Education</t>
  </si>
  <si>
    <t xml:space="preserve">   Workforce Development</t>
  </si>
  <si>
    <t xml:space="preserve">   Community Outreach</t>
  </si>
  <si>
    <t xml:space="preserve">   Customer Engagement Initiative</t>
  </si>
  <si>
    <t>Note: Core Residential and C&amp;I programs that produce savings are allocated 100% to the Residential and C&amp;I sectors, respectively. Other programs budgets are allocated to both Residential and C&amp;I sectors based on an estimated percentage of the sector that those dollars will directly benefit by the percentages above.</t>
  </si>
  <si>
    <t>Eversource CT Gas 2022-2024</t>
  </si>
  <si>
    <t xml:space="preserve">Eversource CT Gas 
2022 Budget Analysis   </t>
  </si>
  <si>
    <t xml:space="preserve">Eversource CT Gas 
2023 Budget Analysis   </t>
  </si>
  <si>
    <t xml:space="preserve">Eversource CT Gas 
2024 Budget Analysis   </t>
  </si>
  <si>
    <t xml:space="preserve">   Energy Education </t>
  </si>
  <si>
    <t>Eversource CT Gas 2022 EE Budget Details</t>
  </si>
  <si>
    <t xml:space="preserve">2022 Gas Conservation </t>
  </si>
  <si>
    <t xml:space="preserve">2023 Gas Conservation </t>
  </si>
  <si>
    <t>Eversource CT Gas 2023 EE Budget Details</t>
  </si>
  <si>
    <t xml:space="preserve">2024 Gas Conservation </t>
  </si>
  <si>
    <t>Eversource CT Gas 2024 EE Budget Details</t>
  </si>
  <si>
    <t xml:space="preserve">   Customer Engagment Initiative</t>
  </si>
  <si>
    <t xml:space="preserve">    Business &amp; Energy Sustainability 
    (O&amp;M, RCx, CSP/SEM)</t>
  </si>
  <si>
    <t>OTHER - LOAD MANAGEMENT</t>
  </si>
  <si>
    <t xml:space="preserve">   Residential Demand Response</t>
  </si>
  <si>
    <t xml:space="preserve">   C&amp;I Demand Response </t>
  </si>
  <si>
    <t>Subtotal: Load Management</t>
  </si>
  <si>
    <t xml:space="preserve">    Home Energy Solutions</t>
  </si>
  <si>
    <t>Statewide 2022 Update Budget Analysis</t>
  </si>
  <si>
    <t>Statewide 2023 Update Budget Analysis</t>
  </si>
  <si>
    <t>Statewide 2024 Update Budget Analysis</t>
  </si>
  <si>
    <t xml:space="preserve">2022 Management Incentive Performance Indicators and Incentive Matrix </t>
  </si>
  <si>
    <t xml:space="preserve">2023 Management Incentive Performance Indicators and Incentive Matrix </t>
  </si>
  <si>
    <t xml:space="preserve">2024 Management Incentive Performance Indicators and Incentive Matrix </t>
  </si>
  <si>
    <t xml:space="preserve">   Home Energy Solutions 
  (Core Services, HVAC, Duct Sealing through 2015)</t>
  </si>
  <si>
    <t xml:space="preserve">   Energy Education (Educate the Students 2016 to 2021)</t>
  </si>
  <si>
    <t xml:space="preserve">   Workforce Development (Educate the Workforce 2016 to 2021)</t>
  </si>
  <si>
    <t xml:space="preserve">   Community Outreach (Educate the Public 2016 to 2021)</t>
  </si>
  <si>
    <t xml:space="preserve">   Customer Engagement Initiative (Customer Engagement 2014 to 2021)</t>
  </si>
  <si>
    <t xml:space="preserve">   C&amp;I Financing Support </t>
  </si>
  <si>
    <t xml:space="preserve">   Business &amp; Energy Sustainability
  (O&amp;M, RCx, CSP/SEM)</t>
  </si>
  <si>
    <t xml:space="preserve">   Business &amp; Energy Sustainability
   (O&amp;M, RCx,CSP/SEM)</t>
  </si>
  <si>
    <t xml:space="preserve">   Business &amp; Energy Sustainability
   (O&amp;M, RCx, CSP/SEM)</t>
  </si>
  <si>
    <t xml:space="preserve">   Business &amp; Energy Sustainability 
  (O&amp;M, RCx, CSP/SEM)</t>
  </si>
  <si>
    <t>% of Residential and C&amp;I Revenue</t>
  </si>
  <si>
    <t>Difference</t>
  </si>
  <si>
    <t>X% of 
signed projects</t>
  </si>
  <si>
    <t>12/31/2021</t>
  </si>
  <si>
    <t>03/01/2022</t>
  </si>
  <si>
    <t>mmbtu calc</t>
  </si>
  <si>
    <t>chg to values only 23.98%</t>
  </si>
  <si>
    <t>chg values only 39.26%</t>
  </si>
  <si>
    <t>chg values only to 37.28%</t>
  </si>
  <si>
    <t>Develop and implement comprehensive offerings. Offerings will consist of a tailored combination of measure and service bundles, energy management, and financing where appropriate (especially 
for high-cost, long payback measures). Calculated as signed 
projects that included comprehensive offerings at time of 
offering/all signed projects (excluding rebates). Comprehensive 
shall be defined as including more than one end use. Based on Prior Year Actual results + 5% (96%+5%=100% capped at 100%).</t>
  </si>
  <si>
    <t xml:space="preserve">Develop and implement comprehensive offerings. Offerings will consist of a tailored combination of measures and service bundles, technical assistance for SEM, benchmarking and financing where appropriate (especially for high-cost, long payback measures). Calculated as signed projects that included comprehensive 
offerings at time of offering/all signed projects (excluding rebates). Comprehensive shall be defined as including at least one end
 use with BES counting as more than one end use. Based on Prior Year Actual results + 5% (76%+5%=81%).
</t>
  </si>
  <si>
    <r>
      <t xml:space="preserve">Eversource CT Gas and the EEB recognize that having clear indicators and metrics of performance are helpful in delivering quality programs to Connecticut consumers. The following is a table of performance and incentive metrics developed by the Companies with input from the EEB, the EEB's consultants and DEEP. These performance and incentive metrics apply to the programs delineated in the 2022-2024 Plan. The projected Eversource CT Gas Performance Incentive is </t>
    </r>
    <r>
      <rPr>
        <b/>
        <sz val="14"/>
        <rFont val="Arial"/>
        <family val="2"/>
      </rPr>
      <t xml:space="preserve">$847,047 </t>
    </r>
    <r>
      <rPr>
        <sz val="14"/>
        <rFont val="Arial"/>
        <family val="2"/>
      </rPr>
      <t xml:space="preserve">and is based on achieving </t>
    </r>
    <r>
      <rPr>
        <b/>
        <sz val="14"/>
        <rFont val="Arial"/>
        <family val="2"/>
      </rPr>
      <t>100%</t>
    </r>
    <r>
      <rPr>
        <sz val="14"/>
        <rFont val="Arial"/>
        <family val="2"/>
      </rPr>
      <t xml:space="preserve"> of all performance targets and earning an incentive of</t>
    </r>
    <r>
      <rPr>
        <b/>
        <sz val="14"/>
        <rFont val="Arial"/>
        <family val="2"/>
      </rPr>
      <t xml:space="preserve"> 5.0%</t>
    </r>
    <r>
      <rPr>
        <sz val="14"/>
        <rFont val="Arial"/>
        <family val="2"/>
      </rPr>
      <t xml:space="preserve"> of the total EE program budget of</t>
    </r>
    <r>
      <rPr>
        <b/>
        <sz val="14"/>
        <rFont val="Arial"/>
        <family val="2"/>
      </rPr>
      <t xml:space="preserve"> $16,940,944 </t>
    </r>
    <r>
      <rPr>
        <sz val="14"/>
        <rFont val="Arial"/>
        <family val="2"/>
      </rPr>
      <t>as shown on Table A (exclusive of EEB costs, Evaluation Consultant costs, Management incentives and Audit costs). The actual earned amount will be calculated on a sliding scale based on the percent of goal achieved and the actual total expenditures, based on the following performance range:</t>
    </r>
  </si>
  <si>
    <t>100% of 
signed projects</t>
  </si>
  <si>
    <t>81% of 
signed projects</t>
  </si>
  <si>
    <t>/ ccf</t>
  </si>
  <si>
    <t>Achieve ccf savings from "core services" per single-family home that has air sealing completed (i.e., non-barriered homes). 
Based on previous year's actuals 
adjusted to the current year CT PSD plus 2.0% (154.81X*102%=157.91).</t>
  </si>
  <si>
    <t>ccf/home</t>
  </si>
  <si>
    <t xml:space="preserve">Achieve 157.91 ccf savings/
single-family home
</t>
  </si>
  <si>
    <t>Achieve ccf savings from "core services" per single-family home that has air sealing completed (i.e., non-barriered homes). 
Based on previous year's actuals 
adjusted to the current year CT PSD plus 2.0% (137.32X*102%=140.07).</t>
  </si>
  <si>
    <t xml:space="preserve">Achieve 140.07 ccf savings/
single-family home
</t>
  </si>
  <si>
    <t>LT-ccf</t>
  </si>
  <si>
    <t>Achieve ccf savings from "core services" per single-family home that has air sealing completed (i.e., non-barriered homes). 
Based on previous year's actuals 
adjusted to the current year CT PSD plus 2.0% (X*102%).</t>
  </si>
  <si>
    <t xml:space="preserve">Achieve X ccf savings/
single-family home
</t>
  </si>
  <si>
    <t xml:space="preserve">    HVAC &amp; Water Heating Equipment</t>
  </si>
  <si>
    <t xml:space="preserve">   HVAC &amp; Water Heating Equipment</t>
  </si>
  <si>
    <t>HVAC &amp; Water Heating Equipment</t>
  </si>
  <si>
    <t>11/01/2022</t>
  </si>
  <si>
    <t>Reduce by 50% in 2023; and by 100% in 2024 and 2025</t>
  </si>
  <si>
    <t>Reduce 1.6 million on all three years.</t>
  </si>
  <si>
    <t>2021 - 2025 Natural Gas Revenues</t>
  </si>
  <si>
    <t xml:space="preserve">2021-2025 Natural Gas Conservation Budget   </t>
  </si>
  <si>
    <t>L</t>
  </si>
  <si>
    <t>N</t>
  </si>
  <si>
    <t>O</t>
  </si>
  <si>
    <t>C&amp;I Q1</t>
  </si>
  <si>
    <t>C&amp;I Q2</t>
  </si>
  <si>
    <t>C&amp;I Q3</t>
  </si>
  <si>
    <t>C&amp;I Q4</t>
  </si>
  <si>
    <t>2021-2025 Natural Gas Budget</t>
  </si>
  <si>
    <r>
      <t xml:space="preserve">Eversource CT Gas and the EEB recognize that having clear indicators and metrics of performance are helpful in delivering quality programs to Connecticut consumers. The following is a table of performance and incentive metrics developed by the Companies with input from the EEB, the EEB's consultants and DEEP. These performance and incentive metrics apply to the programs delineated in the 2022-2024 Plan. The projected Eversource CT Gas Performance Incentive is </t>
    </r>
    <r>
      <rPr>
        <b/>
        <sz val="14"/>
        <rFont val="Arial"/>
        <family val="2"/>
      </rPr>
      <t xml:space="preserve">$1,135,532 </t>
    </r>
    <r>
      <rPr>
        <sz val="14"/>
        <rFont val="Arial"/>
        <family val="2"/>
      </rPr>
      <t xml:space="preserve">and is based on achieving </t>
    </r>
    <r>
      <rPr>
        <b/>
        <sz val="14"/>
        <rFont val="Arial"/>
        <family val="2"/>
      </rPr>
      <t>100%</t>
    </r>
    <r>
      <rPr>
        <sz val="14"/>
        <rFont val="Arial"/>
        <family val="2"/>
      </rPr>
      <t xml:space="preserve"> of all performance targets and earning an incentive of</t>
    </r>
    <r>
      <rPr>
        <b/>
        <sz val="14"/>
        <rFont val="Arial"/>
        <family val="2"/>
      </rPr>
      <t xml:space="preserve"> 5.0%</t>
    </r>
    <r>
      <rPr>
        <sz val="14"/>
        <rFont val="Arial"/>
        <family val="2"/>
      </rPr>
      <t xml:space="preserve"> of the total EE program budget of</t>
    </r>
    <r>
      <rPr>
        <b/>
        <sz val="14"/>
        <rFont val="Arial"/>
        <family val="2"/>
      </rPr>
      <t xml:space="preserve"> $22,710,645 </t>
    </r>
    <r>
      <rPr>
        <sz val="14"/>
        <rFont val="Arial"/>
        <family val="2"/>
      </rPr>
      <t>as shown on Table A (exclusive of EEB costs, Evaluation Consultant costs, Management incentives and Audit costs). The actual earned amount will be calculated on a sliding scale based on the percent of goal achieved and the actual total expenditures, based on the following performance range:</t>
    </r>
  </si>
  <si>
    <r>
      <t xml:space="preserve">Eversource CT Gas and the EEB recognize that having clear indicators and metrics of performance are helpful in delivering quality programs to Connecticut consumers. The following is a table of performance and incentive metrics developed by the Companies with input from the EEB, the EEB's consultants and DEEP. These performance and incentive metrics apply to the programs delineated in the 2022-2024 Plan. The projected Eversource CT Gas Performance Incentive is </t>
    </r>
    <r>
      <rPr>
        <b/>
        <sz val="14"/>
        <rFont val="Arial"/>
        <family val="2"/>
      </rPr>
      <t xml:space="preserve">$1,117,877 </t>
    </r>
    <r>
      <rPr>
        <sz val="14"/>
        <rFont val="Arial"/>
        <family val="2"/>
      </rPr>
      <t xml:space="preserve">and is based on achieving </t>
    </r>
    <r>
      <rPr>
        <b/>
        <sz val="14"/>
        <rFont val="Arial"/>
        <family val="2"/>
      </rPr>
      <t>100%</t>
    </r>
    <r>
      <rPr>
        <sz val="14"/>
        <rFont val="Arial"/>
        <family val="2"/>
      </rPr>
      <t xml:space="preserve"> of all performance targets and earning an incentive of</t>
    </r>
    <r>
      <rPr>
        <b/>
        <sz val="14"/>
        <rFont val="Arial"/>
        <family val="2"/>
      </rPr>
      <t xml:space="preserve"> 5.0%</t>
    </r>
    <r>
      <rPr>
        <sz val="14"/>
        <rFont val="Arial"/>
        <family val="2"/>
      </rPr>
      <t xml:space="preserve"> of the total EE program budget of</t>
    </r>
    <r>
      <rPr>
        <b/>
        <sz val="14"/>
        <rFont val="Arial"/>
        <family val="2"/>
      </rPr>
      <t xml:space="preserve"> $22,357,536 </t>
    </r>
    <r>
      <rPr>
        <sz val="14"/>
        <rFont val="Arial"/>
        <family val="2"/>
      </rPr>
      <t>as shown on Table A (exclusive of EEB costs, Evaluation Consultant costs, Management incentives and Audit costs). The actual earned amount will be calculated on a sliding scale based on the percent of goal achieved and the actual total expenditures, based on the following performance range:</t>
    </r>
  </si>
  <si>
    <t>Develop and implement comprehensive projects. Comprehensive projects shall be defined as: signed LOAs or customer assessments within the current program year that result in projects with at least 2 measures, projects receiving tier 2 or tier 3 incentives, or BES projects that result in a signed LOA or customer assessment within the current program year.
Based on Prior Year Actual results + 5% (X%+5%).</t>
  </si>
  <si>
    <t>Develop and implement comprehensive projects. Comprehensive projects shall be defined as: signed LOAs within the current program year that result in projects with at least 2 measures, projects receiving tier 2 or tier 3 incentives, or BES projects that result in a signed LOA within the current program year.
Based on Prior Year Actual results + 5% (X%+5%).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</si>
</sst>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0">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m/d/yy"/>
    <numFmt numFmtId="165" formatCode="_(&quot;$&quot;* #,##0_);_(&quot;$&quot;* \(#,##0\);_(&quot;$&quot;* &quot;-&quot;??_);_(@_)"/>
    <numFmt numFmtId="166" formatCode="&quot;$&quot;#,##0&quot;/kW&quot;;\(&quot;$&quot;#,##0\)&quot;/kW&quot;"/>
    <numFmt numFmtId="167" formatCode="&quot;$&quot;#,##0&quot;/kWh&quot;;\(&quot;$&quot;#,##0\)&quot;/kWh&quot;"/>
    <numFmt numFmtId="168" formatCode="&quot;$&quot;#,##0&quot;/kW-yr&quot;;\(&quot;$&quot;#,##0\)&quot;/kW-yr&quot;"/>
    <numFmt numFmtId="169" formatCode="&quot;$&quot;#,##0&quot;/MWh&quot;;\(&quot;$&quot;#,##0\)&quot;/MWh&quot;"/>
    <numFmt numFmtId="170" formatCode="&quot;$&quot;#,##0_)&quot;M&quot;;\(&quot;$&quot;#,##0\)&quot;M&quot;"/>
    <numFmt numFmtId="171" formatCode="0.00&quot;¢/kWh&quot;"/>
    <numFmt numFmtId="172" formatCode="_(* #,##0_);_(* \(#,##0\);_(* &quot;-&quot;??_);_(@_)"/>
    <numFmt numFmtId="173" formatCode="0.0%"/>
    <numFmt numFmtId="174" formatCode="&quot;$&quot;#,##0"/>
    <numFmt numFmtId="175" formatCode="_(&quot;$&quot;* #,##0.000_);_(&quot;$&quot;* \(#,##0.000\);_(&quot;$&quot;* &quot;-&quot;_);_(@_)"/>
    <numFmt numFmtId="176" formatCode="#,##0.0000"/>
    <numFmt numFmtId="177" formatCode="_(&quot;$&quot;* #,##0.00000_);_(&quot;$&quot;* \(#,##0.00000\);_(&quot;$&quot;* &quot;-&quot;??_);_(@_)"/>
    <numFmt numFmtId="178" formatCode="#,##0.000"/>
    <numFmt numFmtId="179" formatCode="0.0000"/>
    <numFmt numFmtId="180" formatCode="#,##0.00000"/>
    <numFmt numFmtId="181" formatCode="&quot;$&quot;#,##0.0000_);\(&quot;$&quot;#,##0.0000\)"/>
    <numFmt numFmtId="182" formatCode="0.0"/>
    <numFmt numFmtId="183" formatCode="mm/dd/yy;@"/>
    <numFmt numFmtId="184" formatCode="yyyy"/>
    <numFmt numFmtId="185" formatCode="_(&quot;$&quot;* #,##0.000_);_(&quot;$&quot;* \(#,##0.000\);_(&quot;$&quot;* &quot;-&quot;???_);_(@_)"/>
    <numFmt numFmtId="186" formatCode="_(&quot;$&quot;* #,##0.0_);_(&quot;$&quot;* \(#,##0.0\);_(&quot;$&quot;* &quot;-&quot;??_);_(@_)"/>
    <numFmt numFmtId="187" formatCode="&quot;$&quot;#,##0.000_);\(&quot;$&quot;#,##0.000\)"/>
  </numFmts>
  <fonts count="5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2"/>
      <name val="Arial"/>
      <family val="2"/>
    </font>
    <font>
      <b/>
      <sz val="12"/>
      <name val="Arial"/>
      <family val="2"/>
    </font>
    <font>
      <sz val="10"/>
      <name val="Arial"/>
      <family val="2"/>
    </font>
    <font>
      <sz val="10"/>
      <name val="MS Sans Serif"/>
      <family val="2"/>
    </font>
    <font>
      <b/>
      <sz val="16"/>
      <name val="Arial"/>
      <family val="2"/>
    </font>
    <font>
      <b/>
      <sz val="10"/>
      <color indexed="10"/>
      <name val="Arial"/>
      <family val="2"/>
    </font>
    <font>
      <b/>
      <sz val="12"/>
      <name val="Times New Roman"/>
      <family val="1"/>
    </font>
    <font>
      <sz val="12"/>
      <name val="Times New Roman"/>
      <family val="1"/>
    </font>
    <font>
      <sz val="10"/>
      <color indexed="10"/>
      <name val="Arial"/>
      <family val="2"/>
    </font>
    <font>
      <sz val="10"/>
      <color indexed="12"/>
      <name val="Arial"/>
      <family val="2"/>
    </font>
    <font>
      <u/>
      <sz val="10"/>
      <color indexed="12"/>
      <name val="Arial"/>
      <family val="2"/>
    </font>
    <font>
      <sz val="9"/>
      <color indexed="20"/>
      <name val="Arial"/>
      <family val="2"/>
    </font>
    <font>
      <sz val="10"/>
      <name val="Arial"/>
      <family val="2"/>
    </font>
    <font>
      <b/>
      <sz val="12"/>
      <color indexed="10"/>
      <name val="Times New Roman"/>
      <family val="1"/>
    </font>
    <font>
      <sz val="10"/>
      <name val="Times New Roman"/>
      <family val="1"/>
    </font>
    <font>
      <b/>
      <sz val="12"/>
      <color indexed="12"/>
      <name val="Times New Roman"/>
      <family val="1"/>
    </font>
    <font>
      <b/>
      <sz val="10"/>
      <name val="Arial"/>
      <family val="2"/>
    </font>
    <font>
      <u/>
      <sz val="10"/>
      <name val="Arial"/>
      <family val="2"/>
    </font>
    <font>
      <sz val="8"/>
      <name val="Arial"/>
      <family val="2"/>
    </font>
    <font>
      <b/>
      <sz val="18"/>
      <name val="Arial"/>
      <family val="2"/>
    </font>
    <font>
      <sz val="10"/>
      <name val="Arial"/>
      <family val="2"/>
    </font>
    <font>
      <sz val="14"/>
      <name val="Arial"/>
      <family val="2"/>
    </font>
    <font>
      <b/>
      <sz val="14"/>
      <name val="Arial"/>
      <family val="2"/>
    </font>
    <font>
      <b/>
      <u/>
      <sz val="10"/>
      <name val="Arial"/>
      <family val="2"/>
    </font>
    <font>
      <sz val="11"/>
      <name val="Arial"/>
      <family val="2"/>
    </font>
    <font>
      <sz val="12"/>
      <color theme="0"/>
      <name val="Times New Roman"/>
      <family val="1"/>
    </font>
    <font>
      <u/>
      <sz val="11"/>
      <color theme="10"/>
      <name val="Calibri"/>
      <family val="2"/>
      <scheme val="minor"/>
    </font>
    <font>
      <sz val="11"/>
      <color indexed="8"/>
      <name val="Calibri"/>
      <family val="2"/>
    </font>
    <font>
      <sz val="14"/>
      <color rgb="FF000000"/>
      <name val="Calibri"/>
      <family val="2"/>
    </font>
    <font>
      <sz val="10"/>
      <name val="Arial"/>
      <family val="2"/>
    </font>
    <font>
      <sz val="14"/>
      <color indexed="10"/>
      <name val="Arial"/>
      <family val="2"/>
    </font>
    <font>
      <b/>
      <sz val="14"/>
      <color indexed="12"/>
      <name val="Arial"/>
      <family val="2"/>
    </font>
    <font>
      <sz val="14"/>
      <color indexed="12"/>
      <name val="Arial"/>
      <family val="2"/>
    </font>
    <font>
      <b/>
      <sz val="14"/>
      <color theme="0"/>
      <name val="Arial"/>
      <family val="2"/>
    </font>
    <font>
      <sz val="14"/>
      <color theme="0"/>
      <name val="Arial"/>
      <family val="2"/>
    </font>
    <font>
      <sz val="10"/>
      <color theme="0"/>
      <name val="Arial"/>
      <family val="2"/>
    </font>
    <font>
      <b/>
      <sz val="13"/>
      <color theme="0"/>
      <name val="Arial"/>
      <family val="2"/>
    </font>
    <font>
      <sz val="13"/>
      <name val="Arial"/>
      <family val="2"/>
    </font>
    <font>
      <b/>
      <sz val="13"/>
      <name val="Arial"/>
      <family val="2"/>
    </font>
    <font>
      <b/>
      <i/>
      <sz val="13"/>
      <name val="Arial"/>
      <family val="2"/>
    </font>
    <font>
      <b/>
      <u/>
      <sz val="14"/>
      <color theme="0"/>
      <name val="Arial"/>
      <family val="2"/>
    </font>
    <font>
      <sz val="14"/>
      <name val="Times New Roman"/>
      <family val="1"/>
    </font>
    <font>
      <sz val="13"/>
      <color theme="1"/>
      <name val="Arial"/>
      <family val="2"/>
    </font>
    <font>
      <u/>
      <sz val="13"/>
      <name val="Arial"/>
      <family val="2"/>
    </font>
    <font>
      <u val="singleAccounting"/>
      <sz val="13"/>
      <name val="Arial"/>
      <family val="2"/>
    </font>
    <font>
      <b/>
      <sz val="14"/>
      <color theme="0"/>
      <name val="Times New Roman"/>
      <family val="1"/>
    </font>
    <font>
      <sz val="14"/>
      <color theme="0"/>
      <name val="Times New Roman"/>
      <family val="1"/>
    </font>
    <font>
      <b/>
      <u/>
      <sz val="14"/>
      <name val="Arial"/>
      <family val="2"/>
    </font>
    <font>
      <sz val="18"/>
      <name val="Arial"/>
      <family val="2"/>
    </font>
    <font>
      <u/>
      <sz val="14"/>
      <name val="Arial"/>
      <family val="2"/>
    </font>
    <font>
      <sz val="13"/>
      <color theme="0"/>
      <name val="Arial"/>
      <family val="2"/>
    </font>
    <font>
      <b/>
      <sz val="14"/>
      <name val="Times New Roman"/>
      <family val="1"/>
    </font>
  </fonts>
  <fills count="12">
    <fill>
      <patternFill patternType="none"/>
    </fill>
    <fill>
      <patternFill patternType="gray125"/>
    </fill>
    <fill>
      <patternFill patternType="solid">
        <fgColor indexed="45"/>
        <bgColor indexed="64"/>
      </patternFill>
    </fill>
    <fill>
      <patternFill patternType="solid">
        <fgColor indexed="51"/>
        <bgColor indexed="64"/>
      </patternFill>
    </fill>
    <fill>
      <patternFill patternType="solid">
        <fgColor indexed="42"/>
        <bgColor indexed="64"/>
      </patternFill>
    </fill>
    <fill>
      <patternFill patternType="solid">
        <fgColor indexed="26"/>
      </patternFill>
    </fill>
    <fill>
      <patternFill patternType="solid">
        <fgColor indexed="9"/>
        <bgColor indexed="64"/>
      </patternFill>
    </fill>
    <fill>
      <patternFill patternType="solid">
        <fgColor indexed="31"/>
        <bgColor indexed="64"/>
      </patternFill>
    </fill>
    <fill>
      <patternFill patternType="solid">
        <fgColor theme="3"/>
        <bgColor indexed="64"/>
      </patternFill>
    </fill>
    <fill>
      <patternFill patternType="solid">
        <fgColor theme="4" tint="0.79998168889431442"/>
        <bgColor indexed="64"/>
      </patternFill>
    </fill>
    <fill>
      <patternFill patternType="solid">
        <fgColor theme="0"/>
        <bgColor indexed="64"/>
      </patternFill>
    </fill>
    <fill>
      <patternFill patternType="solid">
        <fgColor rgb="FFFFC000"/>
        <bgColor indexed="64"/>
      </patternFill>
    </fill>
  </fills>
  <borders count="65">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22"/>
      </left>
      <right style="thin">
        <color indexed="22"/>
      </right>
      <top style="thin">
        <color indexed="22"/>
      </top>
      <bottom style="thin">
        <color indexed="22"/>
      </bottom>
      <diagonal/>
    </border>
    <border>
      <left style="thin">
        <color indexed="51"/>
      </left>
      <right style="thin">
        <color indexed="51"/>
      </right>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medium">
        <color theme="0"/>
      </left>
      <right style="medium">
        <color theme="0"/>
      </right>
      <top/>
      <bottom/>
      <diagonal/>
    </border>
    <border>
      <left style="medium">
        <color theme="0"/>
      </left>
      <right style="medium">
        <color theme="0"/>
      </right>
      <top/>
      <bottom style="medium">
        <color indexed="64"/>
      </bottom>
      <diagonal/>
    </border>
    <border>
      <left style="medium">
        <color indexed="64"/>
      </left>
      <right style="medium">
        <color theme="0"/>
      </right>
      <top style="medium">
        <color indexed="64"/>
      </top>
      <bottom style="medium">
        <color indexed="64"/>
      </bottom>
      <diagonal/>
    </border>
    <border>
      <left style="medium">
        <color theme="0"/>
      </left>
      <right style="medium">
        <color theme="0"/>
      </right>
      <top style="medium">
        <color indexed="64"/>
      </top>
      <bottom style="medium">
        <color indexed="64"/>
      </bottom>
      <diagonal/>
    </border>
    <border>
      <left style="medium">
        <color theme="0"/>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indexed="22"/>
      </left>
      <right style="thin">
        <color indexed="22"/>
      </right>
      <top style="thin">
        <color indexed="22"/>
      </top>
      <bottom style="thin">
        <color indexed="22"/>
      </bottom>
      <diagonal/>
    </border>
    <border>
      <left style="thin">
        <color auto="1"/>
      </left>
      <right/>
      <top style="thin">
        <color auto="1"/>
      </top>
      <bottom style="thin">
        <color auto="1"/>
      </bottom>
      <diagonal/>
    </border>
    <border>
      <left style="thin">
        <color auto="1"/>
      </left>
      <right style="thin">
        <color theme="0"/>
      </right>
      <top style="thin">
        <color auto="1"/>
      </top>
      <bottom style="thin">
        <color auto="1"/>
      </bottom>
      <diagonal/>
    </border>
    <border>
      <left style="thin">
        <color theme="0"/>
      </left>
      <right style="thin">
        <color theme="0"/>
      </right>
      <top style="thin">
        <color auto="1"/>
      </top>
      <bottom style="thin">
        <color auto="1"/>
      </bottom>
      <diagonal/>
    </border>
    <border>
      <left style="thin">
        <color theme="0"/>
      </left>
      <right style="thin">
        <color auto="1"/>
      </right>
      <top style="thin">
        <color auto="1"/>
      </top>
      <bottom style="thin">
        <color auto="1"/>
      </bottom>
      <diagonal/>
    </border>
    <border>
      <left style="medium">
        <color theme="0"/>
      </left>
      <right style="medium">
        <color theme="0"/>
      </right>
      <top style="medium">
        <color indexed="64"/>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medium">
        <color indexed="64"/>
      </top>
      <bottom style="medium">
        <color indexed="64"/>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theme="0"/>
      </left>
      <right style="thin">
        <color theme="0"/>
      </right>
      <top style="thin">
        <color auto="1"/>
      </top>
      <bottom style="thin">
        <color auto="1"/>
      </bottom>
      <diagonal/>
    </border>
    <border>
      <left style="thin">
        <color theme="0"/>
      </left>
      <right style="thin">
        <color auto="1"/>
      </right>
      <top style="thin">
        <color auto="1"/>
      </top>
      <bottom style="thin">
        <color auto="1"/>
      </bottom>
      <diagonal/>
    </border>
  </borders>
  <cellStyleXfs count="100">
    <xf numFmtId="0" fontId="0" fillId="0" borderId="0"/>
    <xf numFmtId="0" fontId="6" fillId="0" borderId="0"/>
    <xf numFmtId="0" fontId="6" fillId="0" borderId="0"/>
    <xf numFmtId="0" fontId="7" fillId="0" borderId="0" applyNumberFormat="0" applyFont="0" applyFill="0" applyBorder="0" applyAlignment="0" applyProtection="0">
      <alignment horizontal="left"/>
    </xf>
    <xf numFmtId="44" fontId="6" fillId="0" borderId="0" applyFont="0" applyFill="0" applyBorder="0" applyAlignment="0" applyProtection="0"/>
    <xf numFmtId="9" fontId="6" fillId="0" borderId="0" applyFont="0" applyFill="0" applyBorder="0" applyAlignment="0" applyProtection="0"/>
    <xf numFmtId="43" fontId="6" fillId="0" borderId="0" applyFont="0" applyFill="0" applyBorder="0" applyAlignment="0" applyProtection="0"/>
    <xf numFmtId="44" fontId="3" fillId="0" borderId="0" applyFont="0" applyFill="0" applyBorder="0" applyAlignment="0" applyProtection="0"/>
    <xf numFmtId="0" fontId="3" fillId="0" borderId="0"/>
    <xf numFmtId="43" fontId="3" fillId="0" borderId="0" applyFont="0" applyFill="0" applyBorder="0" applyAlignment="0" applyProtection="0"/>
    <xf numFmtId="166" fontId="6" fillId="0" borderId="0">
      <alignment horizontal="right" wrapText="1"/>
    </xf>
    <xf numFmtId="167" fontId="6" fillId="0" borderId="0">
      <alignment horizontal="right" wrapText="1"/>
    </xf>
    <xf numFmtId="168" fontId="6" fillId="0" borderId="0">
      <alignment horizontal="right" wrapText="1"/>
    </xf>
    <xf numFmtId="169" fontId="6" fillId="0" borderId="0">
      <alignment horizontal="right" wrapText="1"/>
    </xf>
    <xf numFmtId="170" fontId="6" fillId="0" borderId="0">
      <alignment horizontal="right" wrapText="1"/>
    </xf>
    <xf numFmtId="171" fontId="6" fillId="0" borderId="0"/>
    <xf numFmtId="43" fontId="6" fillId="0" borderId="0" applyFont="0" applyFill="0" applyBorder="0" applyAlignment="0" applyProtection="0"/>
    <xf numFmtId="44" fontId="6" fillId="0" borderId="0" applyFont="0" applyFill="0" applyBorder="0" applyAlignment="0" applyProtection="0"/>
    <xf numFmtId="0" fontId="14" fillId="0" borderId="0" applyNumberFormat="0" applyFill="0" applyBorder="0" applyAlignment="0" applyProtection="0">
      <alignment vertical="top"/>
      <protection locked="0"/>
    </xf>
    <xf numFmtId="0" fontId="6" fillId="5" borderId="20" applyNumberFormat="0" applyFont="0" applyAlignment="0" applyProtection="0"/>
    <xf numFmtId="9" fontId="6" fillId="0" borderId="0" applyFont="0" applyFill="0" applyBorder="0" applyAlignment="0" applyProtection="0"/>
    <xf numFmtId="0" fontId="15" fillId="6" borderId="21">
      <protection locked="0"/>
    </xf>
    <xf numFmtId="44" fontId="16" fillId="0" borderId="0" applyFont="0" applyFill="0" applyBorder="0" applyAlignment="0" applyProtection="0"/>
    <xf numFmtId="9" fontId="16" fillId="0" borderId="0" applyFont="0" applyFill="0" applyBorder="0" applyAlignment="0" applyProtection="0"/>
    <xf numFmtId="43" fontId="24" fillId="0" borderId="0" applyFont="0" applyFill="0" applyBorder="0" applyAlignment="0" applyProtection="0"/>
    <xf numFmtId="0" fontId="6" fillId="0" borderId="0"/>
    <xf numFmtId="3" fontId="6" fillId="0" borderId="0" applyFont="0" applyFill="0" applyBorder="0" applyAlignment="0" applyProtection="0"/>
    <xf numFmtId="43" fontId="2"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2" fillId="0" borderId="0" applyFont="0" applyFill="0" applyBorder="0" applyAlignment="0" applyProtection="0"/>
    <xf numFmtId="0" fontId="30" fillId="0" borderId="0" applyNumberFormat="0" applyFill="0" applyBorder="0" applyAlignment="0" applyProtection="0"/>
    <xf numFmtId="0" fontId="6" fillId="0" borderId="0"/>
    <xf numFmtId="0" fontId="2" fillId="0" borderId="0"/>
    <xf numFmtId="0" fontId="6" fillId="0" borderId="0"/>
    <xf numFmtId="0" fontId="2" fillId="0" borderId="0"/>
    <xf numFmtId="0" fontId="6" fillId="0" borderId="0"/>
    <xf numFmtId="0" fontId="6" fillId="0" borderId="0"/>
    <xf numFmtId="0" fontId="2" fillId="0" borderId="0"/>
    <xf numFmtId="0" fontId="6" fillId="5" borderId="20" applyNumberFormat="0" applyFont="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184" fontId="6" fillId="0" borderId="0" applyFill="0" applyBorder="0" applyAlignment="0" applyProtection="0">
      <alignment wrapText="1"/>
    </xf>
    <xf numFmtId="184" fontId="6" fillId="0" borderId="0" applyFill="0" applyBorder="0" applyAlignment="0" applyProtection="0">
      <alignment wrapText="1"/>
    </xf>
    <xf numFmtId="0" fontId="20" fillId="0" borderId="0" applyNumberFormat="0" applyFill="0" applyBorder="0">
      <alignment horizontal="center" wrapText="1"/>
    </xf>
    <xf numFmtId="0" fontId="20" fillId="0" borderId="0" applyNumberFormat="0" applyFill="0" applyBorder="0">
      <alignment horizontal="center" wrapText="1"/>
    </xf>
    <xf numFmtId="2" fontId="22" fillId="0" borderId="0"/>
    <xf numFmtId="3" fontId="6" fillId="0" borderId="0" applyFont="0" applyFill="0" applyBorder="0" applyAlignment="0" applyProtection="0"/>
    <xf numFmtId="3" fontId="6" fillId="0" borderId="0" applyFont="0" applyFill="0" applyBorder="0" applyAlignment="0" applyProtection="0"/>
    <xf numFmtId="0" fontId="6" fillId="0" borderId="0"/>
    <xf numFmtId="166" fontId="6" fillId="0" borderId="0">
      <alignment horizontal="right" wrapText="1"/>
    </xf>
    <xf numFmtId="167" fontId="6" fillId="0" borderId="0">
      <alignment horizontal="right" wrapText="1"/>
    </xf>
    <xf numFmtId="168" fontId="6" fillId="0" borderId="0">
      <alignment horizontal="right" wrapText="1"/>
    </xf>
    <xf numFmtId="169" fontId="6" fillId="0" borderId="0">
      <alignment horizontal="right" wrapText="1"/>
    </xf>
    <xf numFmtId="170" fontId="6" fillId="0" borderId="0">
      <alignment horizontal="right" wrapText="1"/>
    </xf>
    <xf numFmtId="171" fontId="6" fillId="0" borderId="0"/>
    <xf numFmtId="43" fontId="6"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0" fontId="6" fillId="0" borderId="0"/>
    <xf numFmtId="0" fontId="6" fillId="0" borderId="0">
      <alignment wrapText="1"/>
    </xf>
    <xf numFmtId="0" fontId="6" fillId="5" borderId="20" applyNumberFormat="0" applyFont="0" applyAlignment="0" applyProtection="0"/>
    <xf numFmtId="0" fontId="6" fillId="5" borderId="20" applyNumberFormat="0" applyFont="0" applyAlignment="0" applyProtection="0"/>
    <xf numFmtId="0" fontId="6" fillId="5" borderId="20" applyNumberFormat="0" applyFont="0" applyAlignment="0" applyProtection="0"/>
    <xf numFmtId="0" fontId="6" fillId="5" borderId="20" applyNumberFormat="0" applyFont="0" applyAlignment="0" applyProtection="0"/>
    <xf numFmtId="0" fontId="6" fillId="5" borderId="20" applyNumberFormat="0" applyFont="0" applyAlignment="0" applyProtection="0"/>
    <xf numFmtId="9" fontId="6" fillId="0" borderId="0" applyFont="0" applyFill="0" applyBorder="0" applyAlignment="0" applyProtection="0"/>
    <xf numFmtId="0" fontId="33" fillId="0" borderId="0">
      <alignment wrapText="1"/>
    </xf>
    <xf numFmtId="44" fontId="6"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0" fontId="6" fillId="5" borderId="48" applyNumberFormat="0" applyFont="0" applyAlignment="0" applyProtection="0"/>
    <xf numFmtId="43" fontId="6"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6" fillId="5" borderId="48" applyNumberFormat="0" applyFont="0" applyAlignment="0" applyProtection="0"/>
    <xf numFmtId="0" fontId="6" fillId="5" borderId="48" applyNumberFormat="0" applyFont="0" applyAlignment="0" applyProtection="0"/>
    <xf numFmtId="0" fontId="6" fillId="5" borderId="48" applyNumberFormat="0" applyFont="0" applyAlignment="0" applyProtection="0"/>
    <xf numFmtId="0" fontId="6" fillId="5" borderId="48" applyNumberFormat="0" applyFont="0" applyAlignment="0" applyProtection="0"/>
    <xf numFmtId="0" fontId="6" fillId="5" borderId="48" applyNumberFormat="0" applyFont="0" applyAlignment="0" applyProtection="0"/>
    <xf numFmtId="0" fontId="6" fillId="5" borderId="48" applyNumberFormat="0" applyFont="0" applyAlignment="0" applyProtection="0"/>
    <xf numFmtId="0" fontId="6" fillId="0" borderId="0">
      <alignment wrapText="1"/>
    </xf>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cellStyleXfs>
  <cellXfs count="715">
    <xf numFmtId="0" fontId="0" fillId="0" borderId="0" xfId="0"/>
    <xf numFmtId="0" fontId="6" fillId="0" borderId="0" xfId="1"/>
    <xf numFmtId="0" fontId="6" fillId="0" borderId="0" xfId="1" applyFill="1"/>
    <xf numFmtId="0" fontId="8" fillId="0" borderId="0" xfId="1" applyFont="1" applyBorder="1" applyAlignment="1">
      <alignment horizontal="center"/>
    </xf>
    <xf numFmtId="0" fontId="9" fillId="0" borderId="0" xfId="1" applyFont="1" applyFill="1" applyBorder="1" applyAlignment="1">
      <alignment horizontal="center"/>
    </xf>
    <xf numFmtId="0" fontId="8" fillId="0" borderId="0" xfId="1" applyFont="1" applyBorder="1" applyAlignment="1"/>
    <xf numFmtId="0" fontId="6" fillId="0" borderId="0" xfId="1" applyFill="1" applyBorder="1"/>
    <xf numFmtId="0" fontId="9" fillId="0" borderId="0" xfId="1" applyFont="1" applyAlignment="1">
      <alignment horizontal="center"/>
    </xf>
    <xf numFmtId="0" fontId="6" fillId="0" borderId="0" xfId="1" applyBorder="1"/>
    <xf numFmtId="0" fontId="6" fillId="2" borderId="0" xfId="1" applyFont="1" applyFill="1" applyBorder="1"/>
    <xf numFmtId="0" fontId="6" fillId="3" borderId="0" xfId="1" applyFill="1" applyBorder="1"/>
    <xf numFmtId="0" fontId="12" fillId="0" borderId="0" xfId="1" applyFont="1" applyFill="1"/>
    <xf numFmtId="0" fontId="12" fillId="0" borderId="0" xfId="1" applyFont="1" applyBorder="1"/>
    <xf numFmtId="0" fontId="12" fillId="0" borderId="0" xfId="1" applyFont="1"/>
    <xf numFmtId="0" fontId="6" fillId="2" borderId="0" xfId="1" applyFill="1" applyBorder="1"/>
    <xf numFmtId="0" fontId="13" fillId="0" borderId="0" xfId="1" applyFont="1" applyBorder="1"/>
    <xf numFmtId="0" fontId="13" fillId="0" borderId="0" xfId="1" applyFont="1"/>
    <xf numFmtId="0" fontId="11" fillId="0" borderId="0" xfId="0" applyFont="1"/>
    <xf numFmtId="0" fontId="11" fillId="0" borderId="0" xfId="0" applyFont="1" applyFill="1"/>
    <xf numFmtId="0" fontId="10" fillId="0" borderId="0" xfId="0" applyFont="1"/>
    <xf numFmtId="3" fontId="11" fillId="0" borderId="0" xfId="0" applyNumberFormat="1" applyFont="1" applyFill="1" applyAlignment="1">
      <alignment horizontal="center"/>
    </xf>
    <xf numFmtId="0" fontId="11" fillId="0" borderId="0" xfId="0" applyFont="1" applyBorder="1" applyAlignment="1">
      <alignment horizontal="center"/>
    </xf>
    <xf numFmtId="0" fontId="11" fillId="0" borderId="0" xfId="0" applyFont="1" applyFill="1" applyBorder="1" applyAlignment="1">
      <alignment horizontal="center"/>
    </xf>
    <xf numFmtId="3" fontId="17" fillId="0" borderId="0" xfId="4" applyNumberFormat="1" applyFont="1" applyFill="1" applyBorder="1" applyAlignment="1">
      <alignment horizontal="center"/>
    </xf>
    <xf numFmtId="9" fontId="17" fillId="0" borderId="0" xfId="5" applyFont="1" applyFill="1" applyBorder="1" applyAlignment="1">
      <alignment horizontal="center"/>
    </xf>
    <xf numFmtId="0" fontId="11" fillId="0" borderId="0" xfId="0" applyFont="1" applyBorder="1"/>
    <xf numFmtId="42" fontId="4" fillId="0" borderId="0" xfId="5" applyNumberFormat="1" applyFont="1" applyFill="1" applyBorder="1" applyAlignment="1">
      <alignment horizontal="left"/>
    </xf>
    <xf numFmtId="3" fontId="19" fillId="0" borderId="0" xfId="4" applyNumberFormat="1" applyFont="1" applyFill="1" applyBorder="1" applyAlignment="1">
      <alignment horizontal="center"/>
    </xf>
    <xf numFmtId="0" fontId="11" fillId="0" borderId="0" xfId="0" applyFont="1" applyFill="1" applyAlignment="1">
      <alignment horizontal="center"/>
    </xf>
    <xf numFmtId="0" fontId="11" fillId="0" borderId="0" xfId="0" quotePrefix="1" applyFont="1" applyAlignment="1">
      <alignment horizontal="center"/>
    </xf>
    <xf numFmtId="0" fontId="11" fillId="0" borderId="0" xfId="0" applyFont="1" applyAlignment="1">
      <alignment horizontal="center"/>
    </xf>
    <xf numFmtId="0" fontId="11" fillId="0" borderId="0" xfId="0" applyFont="1" applyAlignment="1">
      <alignment horizontal="left"/>
    </xf>
    <xf numFmtId="0" fontId="11" fillId="0" borderId="0" xfId="0" applyFont="1" applyBorder="1" applyAlignment="1">
      <alignment horizontal="left" indent="5"/>
    </xf>
    <xf numFmtId="0" fontId="8" fillId="0" borderId="0" xfId="0" applyFont="1" applyAlignment="1"/>
    <xf numFmtId="0" fontId="20" fillId="0" borderId="0" xfId="0" applyFont="1"/>
    <xf numFmtId="0" fontId="22" fillId="0" borderId="0" xfId="0" applyFont="1"/>
    <xf numFmtId="0" fontId="23" fillId="0" borderId="0" xfId="1" applyFont="1" applyAlignment="1"/>
    <xf numFmtId="0" fontId="12" fillId="0" borderId="0" xfId="1" applyFont="1" applyFill="1" applyBorder="1"/>
    <xf numFmtId="0" fontId="6" fillId="0" borderId="0" xfId="1" applyFont="1" applyFill="1" applyBorder="1"/>
    <xf numFmtId="0" fontId="6" fillId="0" borderId="0" xfId="1" applyFont="1" applyBorder="1"/>
    <xf numFmtId="0" fontId="6" fillId="0" borderId="0" xfId="1" applyFont="1"/>
    <xf numFmtId="42" fontId="6" fillId="0" borderId="0" xfId="1" applyNumberFormat="1"/>
    <xf numFmtId="44" fontId="6" fillId="0" borderId="0" xfId="1" applyNumberFormat="1"/>
    <xf numFmtId="15" fontId="6" fillId="0" borderId="0" xfId="1" quotePrefix="1" applyNumberFormat="1"/>
    <xf numFmtId="3" fontId="6" fillId="0" borderId="0" xfId="1" applyNumberFormat="1" applyFill="1" applyAlignment="1">
      <alignment horizontal="center" vertical="center" wrapText="1"/>
    </xf>
    <xf numFmtId="3" fontId="6" fillId="0" borderId="0" xfId="1" applyNumberFormat="1"/>
    <xf numFmtId="174" fontId="6" fillId="0" borderId="0" xfId="1" applyNumberFormat="1" applyFill="1"/>
    <xf numFmtId="10" fontId="6" fillId="0" borderId="0" xfId="1" applyNumberFormat="1" applyFill="1"/>
    <xf numFmtId="0" fontId="6" fillId="0" borderId="0" xfId="1" applyAlignment="1"/>
    <xf numFmtId="0" fontId="6" fillId="0" borderId="0" xfId="1" applyAlignment="1">
      <alignment horizontal="center"/>
    </xf>
    <xf numFmtId="0" fontId="20" fillId="0" borderId="0" xfId="1" applyFont="1" applyBorder="1" applyAlignment="1">
      <alignment horizontal="left"/>
    </xf>
    <xf numFmtId="0" fontId="6" fillId="0" borderId="0" xfId="1" applyFont="1" applyBorder="1" applyAlignment="1">
      <alignment horizontal="left"/>
    </xf>
    <xf numFmtId="0" fontId="6" fillId="0" borderId="0" xfId="1" applyAlignment="1">
      <alignment horizontal="right"/>
    </xf>
    <xf numFmtId="174" fontId="6" fillId="0" borderId="0" xfId="1" applyNumberFormat="1" applyFont="1"/>
    <xf numFmtId="3" fontId="18" fillId="0" borderId="0" xfId="1" applyNumberFormat="1" applyFont="1" applyFill="1" applyAlignment="1">
      <alignment horizontal="left" vertical="top"/>
    </xf>
    <xf numFmtId="0" fontId="18" fillId="0" borderId="0" xfId="1" applyFont="1"/>
    <xf numFmtId="165" fontId="6" fillId="0" borderId="0" xfId="1" applyNumberFormat="1" applyBorder="1"/>
    <xf numFmtId="173" fontId="6" fillId="0" borderId="0" xfId="1" applyNumberFormat="1" applyBorder="1"/>
    <xf numFmtId="10" fontId="18" fillId="0" borderId="0" xfId="1" applyNumberFormat="1" applyFont="1" applyFill="1" applyAlignment="1">
      <alignment horizontal="center"/>
    </xf>
    <xf numFmtId="174" fontId="18" fillId="0" borderId="0" xfId="1" applyNumberFormat="1" applyFont="1"/>
    <xf numFmtId="174" fontId="6" fillId="0" borderId="0" xfId="1" applyNumberFormat="1"/>
    <xf numFmtId="10" fontId="18" fillId="0" borderId="0" xfId="1" applyNumberFormat="1" applyFont="1"/>
    <xf numFmtId="0" fontId="18" fillId="0" borderId="0" xfId="1" applyFont="1" applyFill="1"/>
    <xf numFmtId="0" fontId="18" fillId="0" borderId="0" xfId="1" applyFont="1" applyFill="1" applyAlignment="1">
      <alignment horizontal="center"/>
    </xf>
    <xf numFmtId="173" fontId="18" fillId="0" borderId="0" xfId="1" applyNumberFormat="1" applyFont="1" applyFill="1" applyAlignment="1">
      <alignment horizontal="center"/>
    </xf>
    <xf numFmtId="10" fontId="18" fillId="0" borderId="0" xfId="1" applyNumberFormat="1" applyFont="1" applyFill="1" applyAlignment="1">
      <alignment horizontal="right"/>
    </xf>
    <xf numFmtId="10" fontId="18" fillId="0" borderId="0" xfId="1" applyNumberFormat="1" applyFont="1" applyFill="1"/>
    <xf numFmtId="0" fontId="18" fillId="0" borderId="0" xfId="1" applyFont="1" applyFill="1" applyBorder="1" applyAlignment="1">
      <alignment horizontal="right"/>
    </xf>
    <xf numFmtId="0" fontId="18" fillId="0" borderId="0" xfId="1" applyFont="1" applyBorder="1"/>
    <xf numFmtId="9" fontId="18" fillId="0" borderId="0" xfId="1" applyNumberFormat="1" applyFont="1" applyFill="1" applyBorder="1" applyAlignment="1">
      <alignment horizontal="right"/>
    </xf>
    <xf numFmtId="10" fontId="18" fillId="0" borderId="0" xfId="1" applyNumberFormat="1" applyFont="1" applyFill="1" applyBorder="1" applyAlignment="1">
      <alignment horizontal="right"/>
    </xf>
    <xf numFmtId="173" fontId="18" fillId="0" borderId="0" xfId="5" applyNumberFormat="1" applyFont="1" applyFill="1" applyBorder="1" applyAlignment="1">
      <alignment horizontal="right"/>
    </xf>
    <xf numFmtId="173" fontId="18" fillId="0" borderId="0" xfId="1" applyNumberFormat="1" applyFont="1" applyFill="1" applyBorder="1" applyAlignment="1">
      <alignment horizontal="right"/>
    </xf>
    <xf numFmtId="42" fontId="13" fillId="0" borderId="0" xfId="1" applyNumberFormat="1" applyFont="1"/>
    <xf numFmtId="175" fontId="6" fillId="0" borderId="0" xfId="1" applyNumberFormat="1"/>
    <xf numFmtId="0" fontId="4" fillId="0" borderId="0" xfId="1" applyFont="1"/>
    <xf numFmtId="175" fontId="4" fillId="0" borderId="0" xfId="1" applyNumberFormat="1" applyFont="1"/>
    <xf numFmtId="42" fontId="4" fillId="0" borderId="0" xfId="1" applyNumberFormat="1" applyFont="1"/>
    <xf numFmtId="0" fontId="4" fillId="0" borderId="0" xfId="1" applyFont="1" applyAlignment="1">
      <alignment horizontal="right"/>
    </xf>
    <xf numFmtId="0" fontId="4" fillId="0" borderId="0" xfId="0" applyFont="1"/>
    <xf numFmtId="0" fontId="6" fillId="0" borderId="0" xfId="0" applyFont="1"/>
    <xf numFmtId="0" fontId="6" fillId="0" borderId="0" xfId="0" applyFont="1" applyAlignment="1">
      <alignment horizontal="center"/>
    </xf>
    <xf numFmtId="0" fontId="6" fillId="0" borderId="0" xfId="0" applyFont="1" applyAlignment="1">
      <alignment horizontal="left" wrapText="1"/>
    </xf>
    <xf numFmtId="0" fontId="11" fillId="0" borderId="0" xfId="0" applyFont="1" applyAlignment="1">
      <alignment horizontal="left" wrapText="1"/>
    </xf>
    <xf numFmtId="0" fontId="27" fillId="0" borderId="0" xfId="0" applyFont="1" applyAlignment="1">
      <alignment horizontal="left" vertical="top" wrapText="1"/>
    </xf>
    <xf numFmtId="0" fontId="21" fillId="0" borderId="0" xfId="0" applyFont="1" applyAlignment="1">
      <alignment horizontal="center" vertical="top" wrapText="1"/>
    </xf>
    <xf numFmtId="174" fontId="6" fillId="0" borderId="0" xfId="0" applyNumberFormat="1" applyFont="1" applyAlignment="1">
      <alignment horizontal="left"/>
    </xf>
    <xf numFmtId="9" fontId="6" fillId="0" borderId="0" xfId="0" applyNumberFormat="1" applyFont="1" applyAlignment="1">
      <alignment horizontal="center" vertical="top" wrapText="1"/>
    </xf>
    <xf numFmtId="0" fontId="20" fillId="6" borderId="0" xfId="0" applyFont="1" applyFill="1"/>
    <xf numFmtId="0" fontId="5" fillId="0" borderId="0" xfId="0" applyFont="1" applyAlignment="1">
      <alignment horizontal="center" vertical="center" wrapText="1"/>
    </xf>
    <xf numFmtId="174" fontId="20" fillId="0" borderId="0" xfId="0" applyNumberFormat="1" applyFont="1" applyAlignment="1">
      <alignment horizontal="left"/>
    </xf>
    <xf numFmtId="174" fontId="6" fillId="0" borderId="0" xfId="0" applyNumberFormat="1" applyFont="1" applyAlignment="1">
      <alignment horizontal="left" vertical="center"/>
    </xf>
    <xf numFmtId="174" fontId="4" fillId="0" borderId="0" xfId="0" applyNumberFormat="1" applyFont="1" applyAlignment="1">
      <alignment horizontal="left"/>
    </xf>
    <xf numFmtId="174" fontId="28" fillId="0" borderId="0" xfId="0" applyNumberFormat="1" applyFont="1" applyAlignment="1">
      <alignment horizontal="left"/>
    </xf>
    <xf numFmtId="9" fontId="28" fillId="0" borderId="0" xfId="0" applyNumberFormat="1" applyFont="1" applyAlignment="1">
      <alignment horizontal="center" vertical="top" wrapText="1"/>
    </xf>
    <xf numFmtId="0" fontId="28" fillId="0" borderId="0" xfId="0" applyFont="1"/>
    <xf numFmtId="0" fontId="28" fillId="0" borderId="0" xfId="0" applyFont="1" applyAlignment="1">
      <alignment horizontal="center"/>
    </xf>
    <xf numFmtId="178" fontId="0" fillId="0" borderId="0" xfId="0" applyNumberFormat="1"/>
    <xf numFmtId="174" fontId="0" fillId="0" borderId="0" xfId="0" applyNumberFormat="1"/>
    <xf numFmtId="0" fontId="28" fillId="0" borderId="0" xfId="0" applyFont="1" applyFill="1"/>
    <xf numFmtId="0" fontId="4" fillId="0" borderId="0" xfId="1" applyFont="1" applyFill="1" applyBorder="1"/>
    <xf numFmtId="0" fontId="0" fillId="0" borderId="0" xfId="0" applyBorder="1"/>
    <xf numFmtId="178" fontId="0" fillId="0" borderId="0" xfId="0" applyNumberFormat="1" applyBorder="1"/>
    <xf numFmtId="174" fontId="0" fillId="0" borderId="0" xfId="0" applyNumberFormat="1" applyBorder="1"/>
    <xf numFmtId="174" fontId="6" fillId="0" borderId="0" xfId="0" applyNumberFormat="1" applyFont="1" applyAlignment="1"/>
    <xf numFmtId="174" fontId="28" fillId="0" borderId="0" xfId="0" applyNumberFormat="1" applyFont="1" applyAlignment="1"/>
    <xf numFmtId="0" fontId="29" fillId="0" borderId="0" xfId="0" applyFont="1"/>
    <xf numFmtId="0" fontId="29" fillId="0" borderId="0" xfId="0" quotePrefix="1" applyFont="1" applyAlignment="1">
      <alignment horizontal="center"/>
    </xf>
    <xf numFmtId="0" fontId="18" fillId="0" borderId="0" xfId="0" applyFont="1"/>
    <xf numFmtId="42" fontId="18" fillId="0" borderId="0" xfId="0" applyNumberFormat="1" applyFont="1"/>
    <xf numFmtId="0" fontId="26" fillId="0" borderId="0" xfId="0" applyFont="1"/>
    <xf numFmtId="0" fontId="0" fillId="4" borderId="0" xfId="0" applyFill="1" applyBorder="1"/>
    <xf numFmtId="43" fontId="6" fillId="0" borderId="0" xfId="6" applyFont="1"/>
    <xf numFmtId="172" fontId="6" fillId="0" borderId="0" xfId="6" applyNumberFormat="1" applyFont="1"/>
    <xf numFmtId="0" fontId="6" fillId="4" borderId="0" xfId="0" applyFont="1" applyFill="1" applyBorder="1"/>
    <xf numFmtId="41" fontId="6" fillId="0" borderId="0" xfId="1" applyNumberFormat="1" applyFill="1"/>
    <xf numFmtId="41" fontId="6" fillId="0" borderId="0" xfId="1" applyNumberFormat="1"/>
    <xf numFmtId="9" fontId="6" fillId="0" borderId="0" xfId="1" applyNumberFormat="1" applyFill="1"/>
    <xf numFmtId="3" fontId="11" fillId="0" borderId="0" xfId="0" applyNumberFormat="1" applyFont="1" applyAlignment="1">
      <alignment horizontal="center" vertical="center" wrapText="1"/>
    </xf>
    <xf numFmtId="3" fontId="11" fillId="0" borderId="0" xfId="0" applyNumberFormat="1" applyFont="1"/>
    <xf numFmtId="3" fontId="18" fillId="0" borderId="0" xfId="0" applyNumberFormat="1" applyFont="1"/>
    <xf numFmtId="3" fontId="10" fillId="7" borderId="0" xfId="0" applyNumberFormat="1" applyFont="1" applyFill="1" applyAlignment="1">
      <alignment horizontal="right"/>
    </xf>
    <xf numFmtId="10" fontId="6" fillId="0" borderId="0" xfId="1" applyNumberFormat="1"/>
    <xf numFmtId="10" fontId="12" fillId="0" borderId="0" xfId="1" applyNumberFormat="1" applyFont="1"/>
    <xf numFmtId="0" fontId="20" fillId="0" borderId="0" xfId="1" applyFont="1"/>
    <xf numFmtId="10" fontId="6" fillId="0" borderId="0" xfId="1" applyNumberFormat="1" applyFont="1"/>
    <xf numFmtId="0" fontId="32" fillId="0" borderId="0" xfId="1" applyFont="1"/>
    <xf numFmtId="41" fontId="12" fillId="0" borderId="0" xfId="1" applyNumberFormat="1" applyFont="1"/>
    <xf numFmtId="10" fontId="11" fillId="0" borderId="0" xfId="0" applyNumberFormat="1" applyFont="1"/>
    <xf numFmtId="0" fontId="11" fillId="0" borderId="0" xfId="0" applyFont="1" applyAlignment="1">
      <alignment wrapText="1"/>
    </xf>
    <xf numFmtId="174" fontId="11" fillId="0" borderId="0" xfId="0" applyNumberFormat="1" applyFont="1"/>
    <xf numFmtId="0" fontId="23" fillId="0" borderId="0" xfId="1" applyFont="1" applyAlignment="1">
      <alignment horizontal="center"/>
    </xf>
    <xf numFmtId="0" fontId="8" fillId="0" borderId="0" xfId="1" applyFont="1" applyBorder="1" applyAlignment="1">
      <alignment horizontal="center"/>
    </xf>
    <xf numFmtId="0" fontId="0" fillId="0" borderId="0" xfId="0" applyAlignment="1">
      <alignment horizontal="center"/>
    </xf>
    <xf numFmtId="0" fontId="0" fillId="0" borderId="0" xfId="0" applyAlignment="1">
      <alignment wrapText="1"/>
    </xf>
    <xf numFmtId="172" fontId="6" fillId="0" borderId="0" xfId="24" applyNumberFormat="1" applyFont="1"/>
    <xf numFmtId="0" fontId="8" fillId="0" borderId="0" xfId="1" applyFont="1" applyBorder="1" applyAlignment="1">
      <alignment horizontal="center"/>
    </xf>
    <xf numFmtId="42" fontId="6" fillId="0" borderId="0" xfId="1" applyNumberFormat="1" applyFill="1"/>
    <xf numFmtId="172" fontId="6" fillId="0" borderId="0" xfId="1" applyNumberFormat="1" applyFill="1"/>
    <xf numFmtId="42" fontId="12" fillId="0" borderId="0" xfId="1" applyNumberFormat="1" applyFont="1"/>
    <xf numFmtId="186" fontId="6" fillId="0" borderId="0" xfId="1" applyNumberFormat="1"/>
    <xf numFmtId="43" fontId="12" fillId="0" borderId="0" xfId="24" applyFont="1" applyFill="1"/>
    <xf numFmtId="43" fontId="12" fillId="0" borderId="0" xfId="1" applyNumberFormat="1" applyFont="1" applyFill="1"/>
    <xf numFmtId="44" fontId="12" fillId="0" borderId="0" xfId="1" applyNumberFormat="1" applyFont="1" applyFill="1"/>
    <xf numFmtId="186" fontId="12" fillId="0" borderId="0" xfId="1" applyNumberFormat="1" applyFont="1"/>
    <xf numFmtId="44" fontId="12" fillId="0" borderId="0" xfId="1" applyNumberFormat="1" applyFont="1" applyFill="1" applyBorder="1"/>
    <xf numFmtId="165" fontId="12" fillId="0" borderId="0" xfId="1" applyNumberFormat="1" applyFont="1"/>
    <xf numFmtId="42" fontId="20" fillId="0" borderId="0" xfId="1" applyNumberFormat="1" applyFont="1"/>
    <xf numFmtId="5" fontId="20" fillId="0" borderId="0" xfId="1" applyNumberFormat="1" applyFont="1"/>
    <xf numFmtId="0" fontId="6" fillId="0" borderId="0" xfId="1" applyNumberFormat="1" applyAlignment="1">
      <alignment horizontal="center"/>
    </xf>
    <xf numFmtId="0" fontId="6" fillId="0" borderId="0" xfId="1" applyFont="1" applyAlignment="1">
      <alignment horizontal="center"/>
    </xf>
    <xf numFmtId="5" fontId="6" fillId="0" borderId="0" xfId="1" applyNumberFormat="1" applyFill="1"/>
    <xf numFmtId="5" fontId="6" fillId="0" borderId="0" xfId="1" applyNumberFormat="1" applyFont="1"/>
    <xf numFmtId="0" fontId="25" fillId="0" borderId="0" xfId="1" applyFont="1" applyBorder="1"/>
    <xf numFmtId="42" fontId="25" fillId="0" borderId="16" xfId="5" applyNumberFormat="1" applyFont="1" applyFill="1" applyBorder="1" applyAlignment="1">
      <alignment horizontal="left"/>
    </xf>
    <xf numFmtId="42" fontId="25" fillId="0" borderId="24" xfId="5" applyNumberFormat="1" applyFont="1" applyFill="1" applyBorder="1" applyAlignment="1">
      <alignment horizontal="left"/>
    </xf>
    <xf numFmtId="42" fontId="25" fillId="0" borderId="25" xfId="5" applyNumberFormat="1" applyFont="1" applyFill="1" applyBorder="1" applyAlignment="1">
      <alignment horizontal="left"/>
    </xf>
    <xf numFmtId="42" fontId="25" fillId="0" borderId="33" xfId="5" applyNumberFormat="1" applyFont="1" applyFill="1" applyBorder="1" applyAlignment="1">
      <alignment horizontal="left"/>
    </xf>
    <xf numFmtId="0" fontId="25" fillId="0" borderId="14" xfId="1" applyFont="1" applyFill="1" applyBorder="1" applyAlignment="1">
      <alignment horizontal="left" vertical="center"/>
    </xf>
    <xf numFmtId="42" fontId="25" fillId="0" borderId="16" xfId="1" applyNumberFormat="1" applyFont="1" applyBorder="1"/>
    <xf numFmtId="42" fontId="25" fillId="0" borderId="34" xfId="5" applyNumberFormat="1" applyFont="1" applyFill="1" applyBorder="1" applyAlignment="1">
      <alignment horizontal="left"/>
    </xf>
    <xf numFmtId="42" fontId="25" fillId="0" borderId="28" xfId="5" applyNumberFormat="1" applyFont="1" applyFill="1" applyBorder="1" applyAlignment="1">
      <alignment horizontal="left"/>
    </xf>
    <xf numFmtId="42" fontId="25" fillId="0" borderId="32" xfId="1" applyNumberFormat="1" applyFont="1" applyBorder="1"/>
    <xf numFmtId="0" fontId="37" fillId="8" borderId="15" xfId="1" applyFont="1" applyFill="1" applyBorder="1"/>
    <xf numFmtId="0" fontId="37" fillId="8" borderId="15" xfId="1" applyFont="1" applyFill="1" applyBorder="1" applyAlignment="1">
      <alignment horizontal="center"/>
    </xf>
    <xf numFmtId="0" fontId="37" fillId="8" borderId="1" xfId="1" applyFont="1" applyFill="1" applyBorder="1" applyAlignment="1">
      <alignment horizontal="center"/>
    </xf>
    <xf numFmtId="0" fontId="37" fillId="8" borderId="23" xfId="1" applyFont="1" applyFill="1" applyBorder="1" applyAlignment="1">
      <alignment horizontal="center"/>
    </xf>
    <xf numFmtId="0" fontId="38" fillId="8" borderId="11" xfId="1" applyFont="1" applyFill="1" applyBorder="1"/>
    <xf numFmtId="0" fontId="37" fillId="8" borderId="11" xfId="1" applyFont="1" applyFill="1" applyBorder="1" applyAlignment="1">
      <alignment horizontal="center" wrapText="1"/>
    </xf>
    <xf numFmtId="0" fontId="37" fillId="8" borderId="2" xfId="1" applyFont="1" applyFill="1" applyBorder="1" applyAlignment="1">
      <alignment horizontal="center" wrapText="1"/>
    </xf>
    <xf numFmtId="0" fontId="37" fillId="8" borderId="26" xfId="1" applyFont="1" applyFill="1" applyBorder="1" applyAlignment="1">
      <alignment horizontal="center" wrapText="1"/>
    </xf>
    <xf numFmtId="0" fontId="37" fillId="8" borderId="2" xfId="1" applyFont="1" applyFill="1" applyBorder="1" applyAlignment="1">
      <alignment horizontal="center"/>
    </xf>
    <xf numFmtId="14" fontId="37" fillId="8" borderId="11" xfId="1" applyNumberFormat="1" applyFont="1" applyFill="1" applyBorder="1" applyAlignment="1">
      <alignment horizontal="center" wrapText="1"/>
    </xf>
    <xf numFmtId="14" fontId="37" fillId="8" borderId="2" xfId="1" applyNumberFormat="1" applyFont="1" applyFill="1" applyBorder="1" applyAlignment="1">
      <alignment horizontal="center" wrapText="1"/>
    </xf>
    <xf numFmtId="0" fontId="38" fillId="8" borderId="18" xfId="1" applyFont="1" applyFill="1" applyBorder="1"/>
    <xf numFmtId="183" fontId="37" fillId="8" borderId="18" xfId="4" applyNumberFormat="1" applyFont="1" applyFill="1" applyBorder="1" applyAlignment="1">
      <alignment horizontal="center" wrapText="1"/>
    </xf>
    <xf numFmtId="0" fontId="26" fillId="9" borderId="8" xfId="1" applyFont="1" applyFill="1" applyBorder="1" applyAlignment="1"/>
    <xf numFmtId="0" fontId="25" fillId="0" borderId="8" xfId="1" applyFont="1" applyFill="1" applyBorder="1" applyAlignment="1"/>
    <xf numFmtId="42" fontId="25" fillId="0" borderId="8" xfId="5" applyNumberFormat="1" applyFont="1" applyFill="1" applyBorder="1" applyAlignment="1">
      <alignment horizontal="left"/>
    </xf>
    <xf numFmtId="165" fontId="25" fillId="0" borderId="8" xfId="5" applyNumberFormat="1" applyFont="1" applyFill="1" applyBorder="1" applyAlignment="1">
      <alignment horizontal="left"/>
    </xf>
    <xf numFmtId="42" fontId="26" fillId="9" borderId="8" xfId="4" applyNumberFormat="1" applyFont="1" applyFill="1" applyBorder="1" applyAlignment="1">
      <alignment horizontal="left"/>
    </xf>
    <xf numFmtId="0" fontId="25" fillId="0" borderId="8" xfId="1" applyFont="1" applyFill="1" applyBorder="1" applyAlignment="1">
      <alignment horizontal="left"/>
    </xf>
    <xf numFmtId="0" fontId="25" fillId="0" borderId="8" xfId="1" applyFont="1" applyFill="1" applyBorder="1" applyAlignment="1">
      <alignment horizontal="left" indent="1"/>
    </xf>
    <xf numFmtId="0" fontId="25" fillId="0" borderId="8" xfId="1" applyFont="1" applyFill="1" applyBorder="1" applyAlignment="1">
      <alignment horizontal="left" wrapText="1"/>
    </xf>
    <xf numFmtId="0" fontId="26" fillId="9" borderId="8" xfId="1" applyFont="1" applyFill="1" applyBorder="1" applyAlignment="1">
      <alignment horizontal="left"/>
    </xf>
    <xf numFmtId="42" fontId="25" fillId="0" borderId="35" xfId="5" applyNumberFormat="1" applyFont="1" applyFill="1" applyBorder="1" applyAlignment="1">
      <alignment horizontal="left"/>
    </xf>
    <xf numFmtId="0" fontId="25" fillId="0" borderId="8" xfId="1" applyFont="1" applyFill="1" applyBorder="1" applyAlignment="1">
      <alignment horizontal="left" vertical="center"/>
    </xf>
    <xf numFmtId="42" fontId="26" fillId="9" borderId="27" xfId="5" applyNumberFormat="1" applyFont="1" applyFill="1" applyBorder="1" applyAlignment="1">
      <alignment horizontal="left"/>
    </xf>
    <xf numFmtId="0" fontId="34" fillId="9" borderId="8" xfId="1" applyFont="1" applyFill="1" applyBorder="1"/>
    <xf numFmtId="42" fontId="34" fillId="9" borderId="8" xfId="1" applyNumberFormat="1" applyFont="1" applyFill="1" applyBorder="1"/>
    <xf numFmtId="0" fontId="35" fillId="9" borderId="8" xfId="1" applyFont="1" applyFill="1" applyBorder="1"/>
    <xf numFmtId="42" fontId="36" fillId="9" borderId="8" xfId="4" applyNumberFormat="1" applyFont="1" applyFill="1" applyBorder="1" applyAlignment="1">
      <alignment horizontal="left"/>
    </xf>
    <xf numFmtId="42" fontId="36" fillId="9" borderId="8" xfId="5" applyNumberFormat="1" applyFont="1" applyFill="1" applyBorder="1" applyAlignment="1">
      <alignment horizontal="left"/>
    </xf>
    <xf numFmtId="0" fontId="39" fillId="9" borderId="0" xfId="1" applyFont="1" applyFill="1" applyBorder="1"/>
    <xf numFmtId="0" fontId="39" fillId="9" borderId="0" xfId="1" applyFont="1" applyFill="1"/>
    <xf numFmtId="0" fontId="25" fillId="0" borderId="6" xfId="1" applyFont="1" applyFill="1" applyBorder="1" applyAlignment="1">
      <alignment horizontal="left" vertical="center" wrapText="1"/>
    </xf>
    <xf numFmtId="3" fontId="25" fillId="0" borderId="0" xfId="1" applyNumberFormat="1" applyFont="1"/>
    <xf numFmtId="0" fontId="25" fillId="0" borderId="0" xfId="1" applyFont="1"/>
    <xf numFmtId="0" fontId="25" fillId="0" borderId="0" xfId="1" applyFont="1" applyAlignment="1">
      <alignment horizontal="center"/>
    </xf>
    <xf numFmtId="174" fontId="25" fillId="0" borderId="0" xfId="1" applyNumberFormat="1" applyFont="1"/>
    <xf numFmtId="0" fontId="37" fillId="8" borderId="1" xfId="1" applyFont="1" applyFill="1" applyBorder="1"/>
    <xf numFmtId="0" fontId="38" fillId="8" borderId="2" xfId="1" applyFont="1" applyFill="1" applyBorder="1"/>
    <xf numFmtId="0" fontId="37" fillId="8" borderId="26" xfId="1" applyFont="1" applyFill="1" applyBorder="1" applyAlignment="1">
      <alignment horizontal="center"/>
    </xf>
    <xf numFmtId="0" fontId="38" fillId="8" borderId="3" xfId="1" applyFont="1" applyFill="1" applyBorder="1"/>
    <xf numFmtId="42" fontId="25" fillId="0" borderId="2" xfId="5" applyNumberFormat="1" applyFont="1" applyFill="1" applyBorder="1" applyAlignment="1">
      <alignment horizontal="left"/>
    </xf>
    <xf numFmtId="0" fontId="25" fillId="0" borderId="1" xfId="1" applyFont="1" applyFill="1" applyBorder="1" applyAlignment="1"/>
    <xf numFmtId="42" fontId="25" fillId="0" borderId="5" xfId="4" applyNumberFormat="1" applyFont="1" applyFill="1" applyBorder="1" applyAlignment="1">
      <alignment horizontal="left"/>
    </xf>
    <xf numFmtId="42" fontId="25" fillId="0" borderId="30" xfId="5" applyNumberFormat="1" applyFont="1" applyFill="1" applyBorder="1" applyAlignment="1">
      <alignment horizontal="left"/>
    </xf>
    <xf numFmtId="165" fontId="25" fillId="0" borderId="5" xfId="24" applyNumberFormat="1" applyFont="1" applyFill="1" applyBorder="1" applyAlignment="1">
      <alignment horizontal="left"/>
    </xf>
    <xf numFmtId="165" fontId="25" fillId="0" borderId="5" xfId="4" applyNumberFormat="1" applyFont="1" applyFill="1" applyBorder="1" applyAlignment="1">
      <alignment horizontal="left"/>
    </xf>
    <xf numFmtId="3" fontId="25" fillId="0" borderId="0" xfId="1" applyNumberFormat="1" applyFont="1" applyAlignment="1">
      <alignment horizontal="center"/>
    </xf>
    <xf numFmtId="42" fontId="26" fillId="9" borderId="2" xfId="4" applyNumberFormat="1" applyFont="1" applyFill="1" applyBorder="1" applyAlignment="1">
      <alignment horizontal="left"/>
    </xf>
    <xf numFmtId="0" fontId="26" fillId="9" borderId="18" xfId="1" applyFont="1" applyFill="1" applyBorder="1" applyAlignment="1"/>
    <xf numFmtId="0" fontId="37" fillId="8" borderId="36" xfId="1" applyFont="1" applyFill="1" applyBorder="1"/>
    <xf numFmtId="0" fontId="44" fillId="8" borderId="36" xfId="1" applyFont="1" applyFill="1" applyBorder="1" applyAlignment="1">
      <alignment horizontal="center"/>
    </xf>
    <xf numFmtId="0" fontId="38" fillId="8" borderId="37" xfId="1" applyFont="1" applyFill="1" applyBorder="1"/>
    <xf numFmtId="0" fontId="37" fillId="8" borderId="37" xfId="1" applyFont="1" applyFill="1" applyBorder="1" applyAlignment="1">
      <alignment horizontal="center" wrapText="1"/>
    </xf>
    <xf numFmtId="0" fontId="37" fillId="8" borderId="37" xfId="1" applyFont="1" applyFill="1" applyBorder="1" applyAlignment="1">
      <alignment horizontal="center"/>
    </xf>
    <xf numFmtId="0" fontId="38" fillId="8" borderId="38" xfId="1" applyFont="1" applyFill="1" applyBorder="1"/>
    <xf numFmtId="49" fontId="37" fillId="8" borderId="38" xfId="4" applyNumberFormat="1" applyFont="1" applyFill="1" applyBorder="1" applyAlignment="1">
      <alignment horizontal="center" wrapText="1"/>
    </xf>
    <xf numFmtId="0" fontId="37" fillId="8" borderId="38" xfId="1" applyFont="1" applyFill="1" applyBorder="1" applyAlignment="1">
      <alignment horizontal="center"/>
    </xf>
    <xf numFmtId="0" fontId="6" fillId="10" borderId="0" xfId="1" applyFill="1"/>
    <xf numFmtId="0" fontId="9" fillId="10" borderId="0" xfId="1" applyFont="1" applyFill="1" applyBorder="1" applyAlignment="1">
      <alignment horizontal="center"/>
    </xf>
    <xf numFmtId="0" fontId="6" fillId="10" borderId="0" xfId="1" applyFill="1" applyBorder="1"/>
    <xf numFmtId="0" fontId="6" fillId="10" borderId="0" xfId="1" applyFont="1" applyFill="1" applyBorder="1"/>
    <xf numFmtId="0" fontId="12" fillId="10" borderId="0" xfId="1" applyFont="1" applyFill="1" applyBorder="1"/>
    <xf numFmtId="0" fontId="6" fillId="10" borderId="0" xfId="0" applyFont="1" applyFill="1" applyBorder="1"/>
    <xf numFmtId="0" fontId="0" fillId="10" borderId="0" xfId="0" applyFill="1" applyBorder="1"/>
    <xf numFmtId="0" fontId="13" fillId="10" borderId="0" xfId="1" applyFont="1" applyFill="1" applyBorder="1"/>
    <xf numFmtId="0" fontId="37" fillId="8" borderId="2" xfId="0" applyFont="1" applyFill="1" applyBorder="1" applyAlignment="1">
      <alignment horizontal="center" wrapText="1"/>
    </xf>
    <xf numFmtId="14" fontId="37" fillId="8" borderId="3" xfId="4" applyNumberFormat="1" applyFont="1" applyFill="1" applyBorder="1" applyAlignment="1">
      <alignment horizontal="center" wrapText="1"/>
    </xf>
    <xf numFmtId="0" fontId="35" fillId="0" borderId="9" xfId="1" applyFont="1" applyFill="1" applyBorder="1"/>
    <xf numFmtId="42" fontId="36" fillId="0" borderId="5" xfId="4" applyNumberFormat="1" applyFont="1" applyFill="1" applyBorder="1" applyAlignment="1">
      <alignment horizontal="left"/>
    </xf>
    <xf numFmtId="0" fontId="35" fillId="0" borderId="10" xfId="1" applyFont="1" applyFill="1" applyBorder="1"/>
    <xf numFmtId="42" fontId="36" fillId="0" borderId="14" xfId="5" applyNumberFormat="1" applyFont="1" applyFill="1" applyBorder="1" applyAlignment="1">
      <alignment horizontal="left"/>
    </xf>
    <xf numFmtId="0" fontId="35" fillId="0" borderId="17" xfId="1" applyFont="1" applyFill="1" applyBorder="1"/>
    <xf numFmtId="42" fontId="36" fillId="0" borderId="12" xfId="5" applyNumberFormat="1" applyFont="1" applyFill="1" applyBorder="1" applyAlignment="1">
      <alignment horizontal="left"/>
    </xf>
    <xf numFmtId="0" fontId="26" fillId="9" borderId="7" xfId="1" applyFont="1" applyFill="1" applyBorder="1" applyAlignment="1">
      <alignment horizontal="left"/>
    </xf>
    <xf numFmtId="42" fontId="26" fillId="9" borderId="3" xfId="4" applyNumberFormat="1" applyFont="1" applyFill="1" applyBorder="1" applyAlignment="1">
      <alignment horizontal="left"/>
    </xf>
    <xf numFmtId="0" fontId="25" fillId="0" borderId="8" xfId="1" applyFont="1" applyFill="1" applyBorder="1" applyAlignment="1">
      <alignment horizontal="left" vertical="center" wrapText="1"/>
    </xf>
    <xf numFmtId="0" fontId="25" fillId="0" borderId="8" xfId="0" applyFont="1" applyFill="1" applyBorder="1" applyAlignment="1">
      <alignment horizontal="left"/>
    </xf>
    <xf numFmtId="9" fontId="46" fillId="0" borderId="8" xfId="1" applyNumberFormat="1" applyFont="1" applyBorder="1" applyAlignment="1">
      <alignment horizontal="center"/>
    </xf>
    <xf numFmtId="165" fontId="25" fillId="0" borderId="5" xfId="4" applyNumberFormat="1" applyFont="1" applyFill="1" applyBorder="1" applyAlignment="1">
      <alignment horizontal="center"/>
    </xf>
    <xf numFmtId="165" fontId="25" fillId="0" borderId="5" xfId="4" applyNumberFormat="1" applyFont="1" applyBorder="1" applyAlignment="1">
      <alignment horizontal="center"/>
    </xf>
    <xf numFmtId="165" fontId="25" fillId="0" borderId="14" xfId="4" applyNumberFormat="1" applyFont="1" applyFill="1" applyBorder="1" applyAlignment="1">
      <alignment horizontal="center"/>
    </xf>
    <xf numFmtId="165" fontId="25" fillId="0" borderId="12" xfId="4" applyNumberFormat="1" applyFont="1" applyFill="1" applyBorder="1" applyAlignment="1">
      <alignment horizontal="center"/>
    </xf>
    <xf numFmtId="0" fontId="25" fillId="0" borderId="7" xfId="0" applyFont="1" applyFill="1" applyBorder="1" applyAlignment="1"/>
    <xf numFmtId="165" fontId="25" fillId="0" borderId="8" xfId="4" applyNumberFormat="1" applyFont="1" applyFill="1" applyBorder="1" applyAlignment="1">
      <alignment horizontal="center"/>
    </xf>
    <xf numFmtId="165" fontId="25" fillId="0" borderId="8" xfId="4" applyNumberFormat="1" applyFont="1" applyBorder="1" applyAlignment="1">
      <alignment horizontal="center"/>
    </xf>
    <xf numFmtId="0" fontId="25" fillId="0" borderId="5" xfId="0" applyFont="1" applyFill="1" applyBorder="1" applyAlignment="1"/>
    <xf numFmtId="165" fontId="25" fillId="0" borderId="12" xfId="4" applyNumberFormat="1" applyFont="1" applyBorder="1" applyAlignment="1">
      <alignment horizontal="center"/>
    </xf>
    <xf numFmtId="0" fontId="25" fillId="0" borderId="8" xfId="0" applyFont="1" applyFill="1" applyBorder="1" applyAlignment="1">
      <alignment horizontal="left" indent="1"/>
    </xf>
    <xf numFmtId="42" fontId="25" fillId="0" borderId="8" xfId="0" applyNumberFormat="1" applyFont="1" applyFill="1" applyBorder="1" applyAlignment="1">
      <alignment horizontal="center"/>
    </xf>
    <xf numFmtId="0" fontId="25" fillId="0" borderId="5" xfId="1" applyFont="1" applyFill="1" applyBorder="1" applyAlignment="1">
      <alignment vertical="center"/>
    </xf>
    <xf numFmtId="42" fontId="25" fillId="0" borderId="5" xfId="0" applyNumberFormat="1" applyFont="1" applyBorder="1" applyAlignment="1">
      <alignment horizontal="center"/>
    </xf>
    <xf numFmtId="0" fontId="25" fillId="0" borderId="10" xfId="0" applyFont="1" applyFill="1" applyBorder="1" applyAlignment="1">
      <alignment vertical="center"/>
    </xf>
    <xf numFmtId="42" fontId="25" fillId="0" borderId="14" xfId="0" applyNumberFormat="1" applyFont="1" applyBorder="1" applyAlignment="1">
      <alignment horizontal="center"/>
    </xf>
    <xf numFmtId="0" fontId="25" fillId="0" borderId="6" xfId="1" applyFont="1" applyFill="1" applyBorder="1" applyAlignment="1">
      <alignment vertical="center"/>
    </xf>
    <xf numFmtId="42" fontId="25" fillId="0" borderId="6" xfId="0" applyNumberFormat="1" applyFont="1" applyBorder="1" applyAlignment="1">
      <alignment horizontal="center"/>
    </xf>
    <xf numFmtId="0" fontId="25" fillId="0" borderId="14" xfId="1" applyFont="1" applyFill="1" applyBorder="1" applyAlignment="1">
      <alignment vertical="center"/>
    </xf>
    <xf numFmtId="42" fontId="25" fillId="0" borderId="31" xfId="0" applyNumberFormat="1" applyFont="1" applyBorder="1" applyAlignment="1">
      <alignment horizontal="center"/>
    </xf>
    <xf numFmtId="0" fontId="37" fillId="8" borderId="41" xfId="0" applyFont="1" applyFill="1" applyBorder="1" applyAlignment="1">
      <alignment horizontal="center" wrapText="1"/>
    </xf>
    <xf numFmtId="42" fontId="37" fillId="8" borderId="42" xfId="0" applyNumberFormat="1" applyFont="1" applyFill="1" applyBorder="1" applyAlignment="1">
      <alignment horizontal="center" wrapText="1"/>
    </xf>
    <xf numFmtId="42" fontId="37" fillId="8" borderId="43" xfId="0" applyNumberFormat="1" applyFont="1" applyFill="1" applyBorder="1" applyAlignment="1">
      <alignment horizontal="center" wrapText="1"/>
    </xf>
    <xf numFmtId="165" fontId="26" fillId="9" borderId="8" xfId="4" applyNumberFormat="1" applyFont="1" applyFill="1" applyBorder="1" applyAlignment="1">
      <alignment horizontal="center"/>
    </xf>
    <xf numFmtId="165" fontId="25" fillId="0" borderId="8" xfId="4" applyNumberFormat="1" applyFont="1" applyBorder="1" applyAlignment="1">
      <alignment horizontal="right"/>
    </xf>
    <xf numFmtId="0" fontId="26" fillId="9" borderId="8" xfId="0" applyFont="1" applyFill="1" applyBorder="1" applyAlignment="1">
      <alignment horizontal="left"/>
    </xf>
    <xf numFmtId="165" fontId="26" fillId="9" borderId="8" xfId="4" quotePrefix="1" applyNumberFormat="1" applyFont="1" applyFill="1" applyBorder="1" applyAlignment="1">
      <alignment horizontal="center"/>
    </xf>
    <xf numFmtId="42" fontId="26" fillId="9" borderId="8" xfId="6" quotePrefix="1" applyNumberFormat="1" applyFont="1" applyFill="1" applyBorder="1" applyAlignment="1">
      <alignment horizontal="center"/>
    </xf>
    <xf numFmtId="0" fontId="25" fillId="0" borderId="18" xfId="0" applyFont="1" applyFill="1" applyBorder="1" applyAlignment="1">
      <alignment wrapText="1"/>
    </xf>
    <xf numFmtId="0" fontId="25" fillId="0" borderId="8" xfId="1" applyFont="1" applyFill="1" applyBorder="1" applyAlignment="1">
      <alignment vertical="center"/>
    </xf>
    <xf numFmtId="42" fontId="25" fillId="0" borderId="8" xfId="0" applyNumberFormat="1" applyFont="1" applyBorder="1" applyAlignment="1">
      <alignment horizontal="center"/>
    </xf>
    <xf numFmtId="0" fontId="25" fillId="0" borderId="8" xfId="0" applyFont="1" applyFill="1" applyBorder="1" applyAlignment="1">
      <alignment wrapText="1"/>
    </xf>
    <xf numFmtId="44" fontId="25" fillId="0" borderId="8" xfId="4" applyFont="1" applyFill="1" applyBorder="1" applyAlignment="1">
      <alignment horizontal="center"/>
    </xf>
    <xf numFmtId="42" fontId="25" fillId="0" borderId="8" xfId="4" applyNumberFormat="1" applyFont="1" applyFill="1" applyBorder="1" applyAlignment="1">
      <alignment horizontal="center"/>
    </xf>
    <xf numFmtId="0" fontId="25" fillId="0" borderId="8" xfId="0" applyFont="1" applyFill="1" applyBorder="1" applyAlignment="1">
      <alignment horizontal="left" vertical="center"/>
    </xf>
    <xf numFmtId="165" fontId="25" fillId="0" borderId="8" xfId="22" applyNumberFormat="1" applyFont="1" applyFill="1" applyBorder="1" applyAlignment="1">
      <alignment horizontal="center"/>
    </xf>
    <xf numFmtId="42" fontId="26" fillId="9" borderId="8" xfId="22" quotePrefix="1" applyNumberFormat="1" applyFont="1" applyFill="1" applyBorder="1" applyAlignment="1">
      <alignment horizontal="center"/>
    </xf>
    <xf numFmtId="0" fontId="35" fillId="9" borderId="8" xfId="0" applyFont="1" applyFill="1" applyBorder="1"/>
    <xf numFmtId="165" fontId="36" fillId="9" borderId="8" xfId="4" applyNumberFormat="1" applyFont="1" applyFill="1" applyBorder="1" applyAlignment="1">
      <alignment horizontal="center"/>
    </xf>
    <xf numFmtId="0" fontId="41" fillId="0" borderId="0" xfId="0" applyFont="1"/>
    <xf numFmtId="0" fontId="49" fillId="0" borderId="0" xfId="0" applyFont="1" applyFill="1"/>
    <xf numFmtId="42" fontId="37" fillId="0" borderId="0" xfId="6" quotePrefix="1" applyNumberFormat="1" applyFont="1" applyFill="1" applyBorder="1" applyAlignment="1">
      <alignment horizontal="center"/>
    </xf>
    <xf numFmtId="0" fontId="50" fillId="0" borderId="0" xfId="0" applyFont="1" applyAlignment="1">
      <alignment horizontal="center"/>
    </xf>
    <xf numFmtId="42" fontId="50" fillId="0" borderId="0" xfId="0" applyNumberFormat="1" applyFont="1" applyFill="1" applyAlignment="1">
      <alignment horizontal="center"/>
    </xf>
    <xf numFmtId="0" fontId="50" fillId="0" borderId="0" xfId="0" applyFont="1"/>
    <xf numFmtId="42" fontId="50" fillId="0" borderId="0" xfId="0" applyNumberFormat="1" applyFont="1"/>
    <xf numFmtId="0" fontId="45" fillId="0" borderId="0" xfId="0" applyFont="1" applyAlignment="1">
      <alignment horizontal="left"/>
    </xf>
    <xf numFmtId="0" fontId="45" fillId="0" borderId="0" xfId="0" applyFont="1"/>
    <xf numFmtId="0" fontId="45" fillId="0" borderId="0" xfId="0" applyFont="1" applyAlignment="1">
      <alignment horizontal="center"/>
    </xf>
    <xf numFmtId="0" fontId="13" fillId="0" borderId="0" xfId="1" applyFont="1" applyFill="1" applyBorder="1"/>
    <xf numFmtId="49" fontId="37" fillId="8" borderId="29" xfId="4" applyNumberFormat="1" applyFont="1" applyFill="1" applyBorder="1" applyAlignment="1">
      <alignment horizontal="center" wrapText="1"/>
    </xf>
    <xf numFmtId="165" fontId="25" fillId="0" borderId="8" xfId="5" applyNumberFormat="1" applyFont="1" applyFill="1" applyBorder="1" applyAlignment="1"/>
    <xf numFmtId="165" fontId="25" fillId="0" borderId="8" xfId="4" applyNumberFormat="1" applyFont="1" applyFill="1" applyBorder="1" applyAlignment="1"/>
    <xf numFmtId="165" fontId="26" fillId="9" borderId="8" xfId="4" applyNumberFormat="1" applyFont="1" applyFill="1" applyBorder="1" applyAlignment="1"/>
    <xf numFmtId="0" fontId="25" fillId="0" borderId="8" xfId="1" applyFont="1" applyFill="1" applyBorder="1" applyAlignment="1">
      <alignment wrapText="1"/>
    </xf>
    <xf numFmtId="165" fontId="25" fillId="0" borderId="8" xfId="1" applyNumberFormat="1" applyFont="1" applyBorder="1" applyAlignment="1"/>
    <xf numFmtId="165" fontId="25" fillId="0" borderId="8" xfId="1" applyNumberFormat="1" applyFont="1" applyBorder="1"/>
    <xf numFmtId="174" fontId="25" fillId="0" borderId="8" xfId="1" applyNumberFormat="1" applyFont="1" applyFill="1" applyBorder="1" applyAlignment="1">
      <alignment horizontal="left"/>
    </xf>
    <xf numFmtId="165" fontId="25" fillId="0" borderId="8" xfId="24" applyNumberFormat="1" applyFont="1" applyFill="1" applyBorder="1" applyAlignment="1">
      <alignment horizontal="right"/>
    </xf>
    <xf numFmtId="165" fontId="25" fillId="0" borderId="8" xfId="5" applyNumberFormat="1" applyFont="1" applyFill="1" applyBorder="1" applyAlignment="1">
      <alignment horizontal="right"/>
    </xf>
    <xf numFmtId="174" fontId="25" fillId="0" borderId="8" xfId="0" applyNumberFormat="1" applyFont="1" applyFill="1" applyBorder="1" applyAlignment="1">
      <alignment horizontal="left"/>
    </xf>
    <xf numFmtId="165" fontId="26" fillId="9" borderId="8" xfId="4" applyNumberFormat="1" applyFont="1" applyFill="1" applyBorder="1" applyAlignment="1">
      <alignment horizontal="right"/>
    </xf>
    <xf numFmtId="165" fontId="34" fillId="9" borderId="8" xfId="1" applyNumberFormat="1" applyFont="1" applyFill="1" applyBorder="1" applyAlignment="1">
      <alignment horizontal="right"/>
    </xf>
    <xf numFmtId="165" fontId="36" fillId="9" borderId="8" xfId="4" applyNumberFormat="1" applyFont="1" applyFill="1" applyBorder="1" applyAlignment="1">
      <alignment horizontal="right"/>
    </xf>
    <xf numFmtId="165" fontId="36" fillId="9" borderId="8" xfId="5" applyNumberFormat="1" applyFont="1" applyFill="1" applyBorder="1" applyAlignment="1">
      <alignment horizontal="right"/>
    </xf>
    <xf numFmtId="174" fontId="26" fillId="9" borderId="8" xfId="1" applyNumberFormat="1" applyFont="1" applyFill="1" applyBorder="1" applyAlignment="1">
      <alignment horizontal="left"/>
    </xf>
    <xf numFmtId="174" fontId="35" fillId="9" borderId="8" xfId="1" applyNumberFormat="1" applyFont="1" applyFill="1" applyBorder="1" applyAlignment="1">
      <alignment horizontal="left"/>
    </xf>
    <xf numFmtId="41" fontId="26" fillId="9" borderId="8" xfId="4" applyNumberFormat="1" applyFont="1" applyFill="1" applyBorder="1" applyAlignment="1">
      <alignment horizontal="right"/>
    </xf>
    <xf numFmtId="41" fontId="25" fillId="0" borderId="8" xfId="5" applyNumberFormat="1" applyFont="1" applyFill="1" applyBorder="1" applyAlignment="1"/>
    <xf numFmtId="41" fontId="25" fillId="0" borderId="8" xfId="6" applyNumberFormat="1" applyFont="1" applyFill="1" applyBorder="1" applyAlignment="1"/>
    <xf numFmtId="41" fontId="34" fillId="9" borderId="8" xfId="1" applyNumberFormat="1" applyFont="1" applyFill="1" applyBorder="1"/>
    <xf numFmtId="41" fontId="36" fillId="9" borderId="8" xfId="6" applyNumberFormat="1" applyFont="1" applyFill="1" applyBorder="1" applyAlignment="1">
      <alignment horizontal="right"/>
    </xf>
    <xf numFmtId="41" fontId="26" fillId="9" borderId="8" xfId="4" applyNumberFormat="1" applyFont="1" applyFill="1" applyBorder="1" applyAlignment="1"/>
    <xf numFmtId="0" fontId="25" fillId="9" borderId="8" xfId="1" applyFont="1" applyFill="1" applyBorder="1" applyAlignment="1"/>
    <xf numFmtId="185" fontId="26" fillId="9" borderId="8" xfId="4" applyNumberFormat="1" applyFont="1" applyFill="1" applyBorder="1" applyAlignment="1"/>
    <xf numFmtId="185" fontId="26" fillId="9" borderId="8" xfId="1" applyNumberFormat="1" applyFont="1" applyFill="1" applyBorder="1" applyAlignment="1"/>
    <xf numFmtId="185" fontId="26" fillId="9" borderId="8" xfId="5" applyNumberFormat="1" applyFont="1" applyFill="1" applyBorder="1" applyAlignment="1"/>
    <xf numFmtId="185" fontId="25" fillId="0" borderId="8" xfId="6" applyNumberFormat="1" applyFont="1" applyFill="1" applyBorder="1" applyAlignment="1"/>
    <xf numFmtId="185" fontId="25" fillId="0" borderId="8" xfId="5" applyNumberFormat="1" applyFont="1" applyFill="1" applyBorder="1" applyAlignment="1"/>
    <xf numFmtId="185" fontId="26" fillId="9" borderId="8" xfId="4" applyNumberFormat="1" applyFont="1" applyFill="1" applyBorder="1" applyAlignment="1">
      <alignment horizontal="right"/>
    </xf>
    <xf numFmtId="185" fontId="34" fillId="9" borderId="8" xfId="1" applyNumberFormat="1" applyFont="1" applyFill="1" applyBorder="1"/>
    <xf numFmtId="185" fontId="36" fillId="9" borderId="8" xfId="6" applyNumberFormat="1" applyFont="1" applyFill="1" applyBorder="1" applyAlignment="1">
      <alignment horizontal="right"/>
    </xf>
    <xf numFmtId="0" fontId="37" fillId="8" borderId="2" xfId="1" applyFont="1" applyFill="1" applyBorder="1"/>
    <xf numFmtId="172" fontId="26" fillId="9" borderId="8" xfId="4" applyNumberFormat="1" applyFont="1" applyFill="1" applyBorder="1" applyAlignment="1">
      <alignment horizontal="right"/>
    </xf>
    <xf numFmtId="172" fontId="25" fillId="0" borderId="8" xfId="5" applyNumberFormat="1" applyFont="1" applyFill="1" applyBorder="1" applyAlignment="1">
      <alignment horizontal="right"/>
    </xf>
    <xf numFmtId="172" fontId="34" fillId="9" borderId="8" xfId="1" applyNumberFormat="1" applyFont="1" applyFill="1" applyBorder="1"/>
    <xf numFmtId="172" fontId="36" fillId="9" borderId="8" xfId="4" applyNumberFormat="1" applyFont="1" applyFill="1" applyBorder="1" applyAlignment="1">
      <alignment horizontal="right"/>
    </xf>
    <xf numFmtId="172" fontId="36" fillId="9" borderId="8" xfId="5" applyNumberFormat="1" applyFont="1" applyFill="1" applyBorder="1" applyAlignment="1">
      <alignment horizontal="right"/>
    </xf>
    <xf numFmtId="172" fontId="26" fillId="9" borderId="8" xfId="4" applyNumberFormat="1" applyFont="1" applyFill="1" applyBorder="1" applyAlignment="1"/>
    <xf numFmtId="172" fontId="25" fillId="0" borderId="8" xfId="5" quotePrefix="1" applyNumberFormat="1" applyFont="1" applyFill="1" applyBorder="1" applyAlignment="1">
      <alignment horizontal="right"/>
    </xf>
    <xf numFmtId="0" fontId="51" fillId="0" borderId="0" xfId="0" applyFont="1" applyAlignment="1">
      <alignment horizontal="center" vertical="top" wrapText="1"/>
    </xf>
    <xf numFmtId="0" fontId="51" fillId="0" borderId="0" xfId="0" applyFont="1" applyAlignment="1">
      <alignment horizontal="left" vertical="top" wrapText="1"/>
    </xf>
    <xf numFmtId="0" fontId="25" fillId="0" borderId="0" xfId="0" applyFont="1" applyAlignment="1">
      <alignment horizontal="center" vertical="center" wrapText="1"/>
    </xf>
    <xf numFmtId="9" fontId="25" fillId="0" borderId="0" xfId="0" applyNumberFormat="1" applyFont="1" applyAlignment="1">
      <alignment horizontal="center" vertical="center" wrapText="1"/>
    </xf>
    <xf numFmtId="174" fontId="25" fillId="0" borderId="0" xfId="0" applyNumberFormat="1" applyFont="1" applyAlignment="1">
      <alignment horizontal="center" vertical="center"/>
    </xf>
    <xf numFmtId="0" fontId="26" fillId="0" borderId="0" xfId="0" applyFont="1" applyAlignment="1">
      <alignment horizontal="center" vertical="center" wrapText="1"/>
    </xf>
    <xf numFmtId="173" fontId="26" fillId="0" borderId="0" xfId="0" applyNumberFormat="1" applyFont="1" applyAlignment="1">
      <alignment horizontal="center" vertical="center" wrapText="1"/>
    </xf>
    <xf numFmtId="174" fontId="26" fillId="0" borderId="0" xfId="0" applyNumberFormat="1" applyFont="1" applyAlignment="1">
      <alignment horizontal="center" vertical="center"/>
    </xf>
    <xf numFmtId="0" fontId="26" fillId="0" borderId="0" xfId="0" applyFont="1" applyFill="1" applyAlignment="1">
      <alignment horizontal="center" wrapText="1"/>
    </xf>
    <xf numFmtId="174" fontId="26" fillId="0" borderId="0" xfId="0" applyNumberFormat="1" applyFont="1" applyFill="1" applyAlignment="1" applyProtection="1">
      <alignment horizontal="right" wrapText="1"/>
      <protection hidden="1"/>
    </xf>
    <xf numFmtId="6" fontId="25" fillId="0" borderId="8" xfId="0" applyNumberFormat="1" applyFont="1" applyBorder="1" applyAlignment="1">
      <alignment horizontal="center" vertical="center" wrapText="1"/>
    </xf>
    <xf numFmtId="182" fontId="25" fillId="0" borderId="8" xfId="0" applyNumberFormat="1" applyFont="1" applyFill="1" applyBorder="1" applyAlignment="1">
      <alignment horizontal="center" vertical="center" wrapText="1"/>
    </xf>
    <xf numFmtId="179" fontId="25" fillId="0" borderId="8" xfId="0" applyNumberFormat="1" applyFont="1" applyFill="1" applyBorder="1" applyAlignment="1">
      <alignment horizontal="center" vertical="center" wrapText="1"/>
    </xf>
    <xf numFmtId="3" fontId="25" fillId="0" borderId="8" xfId="0" applyNumberFormat="1" applyFont="1" applyFill="1" applyBorder="1" applyAlignment="1">
      <alignment horizontal="center" vertical="center" wrapText="1"/>
    </xf>
    <xf numFmtId="0" fontId="25" fillId="0" borderId="8" xfId="0" applyFont="1" applyBorder="1" applyAlignment="1">
      <alignment vertical="center" wrapText="1"/>
    </xf>
    <xf numFmtId="176" fontId="25" fillId="0" borderId="8" xfId="0" applyNumberFormat="1" applyFont="1" applyFill="1" applyBorder="1" applyAlignment="1">
      <alignment horizontal="center" vertical="center" wrapText="1"/>
    </xf>
    <xf numFmtId="0" fontId="25" fillId="0" borderId="8" xfId="0" applyFont="1" applyFill="1" applyBorder="1"/>
    <xf numFmtId="0" fontId="25" fillId="0" borderId="8" xfId="0" applyFont="1" applyBorder="1" applyAlignment="1">
      <alignment horizontal="center" vertical="center" wrapText="1"/>
    </xf>
    <xf numFmtId="0" fontId="25" fillId="0" borderId="8" xfId="0" applyFont="1" applyBorder="1"/>
    <xf numFmtId="10" fontId="25" fillId="0" borderId="8" xfId="23" applyNumberFormat="1" applyFont="1" applyBorder="1" applyAlignment="1">
      <alignment horizontal="center"/>
    </xf>
    <xf numFmtId="0" fontId="25" fillId="0" borderId="8" xfId="0" applyFont="1" applyBorder="1" applyAlignment="1">
      <alignment horizontal="left" vertical="center" wrapText="1"/>
    </xf>
    <xf numFmtId="173" fontId="25" fillId="0" borderId="8" xfId="0" applyNumberFormat="1" applyFont="1" applyBorder="1" applyAlignment="1">
      <alignment horizontal="center"/>
    </xf>
    <xf numFmtId="172" fontId="25" fillId="0" borderId="8" xfId="0" applyNumberFormat="1" applyFont="1" applyBorder="1" applyAlignment="1">
      <alignment vertical="center" wrapText="1"/>
    </xf>
    <xf numFmtId="174" fontId="25" fillId="0" borderId="8" xfId="0" applyNumberFormat="1" applyFont="1" applyFill="1" applyBorder="1" applyAlignment="1">
      <alignment horizontal="center" vertical="center" wrapText="1"/>
    </xf>
    <xf numFmtId="0" fontId="25" fillId="0" borderId="8" xfId="0" applyFont="1" applyBorder="1" applyAlignment="1">
      <alignment horizontal="center" vertical="top" wrapText="1"/>
    </xf>
    <xf numFmtId="176" fontId="25" fillId="0" borderId="8" xfId="0" applyNumberFormat="1" applyFont="1" applyBorder="1" applyAlignment="1">
      <alignment horizontal="center" vertical="center" wrapText="1"/>
    </xf>
    <xf numFmtId="174" fontId="26" fillId="0" borderId="8" xfId="0" applyNumberFormat="1" applyFont="1" applyBorder="1" applyAlignment="1">
      <alignment horizontal="center" vertical="center" wrapText="1"/>
    </xf>
    <xf numFmtId="174" fontId="26" fillId="0" borderId="8" xfId="0" applyNumberFormat="1" applyFont="1" applyBorder="1" applyAlignment="1">
      <alignment horizontal="center" vertical="center"/>
    </xf>
    <xf numFmtId="174" fontId="26" fillId="0" borderId="8" xfId="0" applyNumberFormat="1" applyFont="1" applyFill="1" applyBorder="1" applyAlignment="1">
      <alignment horizontal="center" vertical="center"/>
    </xf>
    <xf numFmtId="0" fontId="25" fillId="0" borderId="8" xfId="0" applyFont="1" applyFill="1" applyBorder="1" applyAlignment="1">
      <alignment horizontal="center" vertical="top" wrapText="1"/>
    </xf>
    <xf numFmtId="174" fontId="26" fillId="0" borderId="8" xfId="0" applyNumberFormat="1" applyFont="1" applyFill="1" applyBorder="1" applyAlignment="1">
      <alignment horizontal="center" vertical="center" wrapText="1"/>
    </xf>
    <xf numFmtId="180" fontId="26" fillId="9" borderId="8" xfId="0" applyNumberFormat="1" applyFont="1" applyFill="1" applyBorder="1" applyAlignment="1">
      <alignment horizontal="center" vertical="center"/>
    </xf>
    <xf numFmtId="174" fontId="26" fillId="9" borderId="8" xfId="0" applyNumberFormat="1"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25" fillId="0" borderId="27" xfId="0" applyFont="1" applyFill="1" applyBorder="1" applyAlignment="1">
      <alignment horizontal="center" vertical="center" wrapText="1"/>
    </xf>
    <xf numFmtId="0" fontId="37" fillId="8" borderId="8" xfId="0" applyFont="1" applyFill="1" applyBorder="1" applyAlignment="1">
      <alignment horizontal="center" vertical="center" wrapText="1"/>
    </xf>
    <xf numFmtId="9" fontId="5" fillId="0" borderId="0" xfId="0" applyNumberFormat="1" applyFont="1" applyAlignment="1">
      <alignment horizontal="center" vertical="center" wrapText="1"/>
    </xf>
    <xf numFmtId="0" fontId="0" fillId="0" borderId="0" xfId="0" applyAlignment="1">
      <alignment horizontal="center"/>
    </xf>
    <xf numFmtId="0" fontId="52" fillId="0" borderId="0" xfId="0" applyFont="1"/>
    <xf numFmtId="0" fontId="23" fillId="0" borderId="0" xfId="0" applyFont="1"/>
    <xf numFmtId="0" fontId="25" fillId="0" borderId="8" xfId="0" applyFont="1" applyBorder="1" applyAlignment="1">
      <alignment horizontal="center"/>
    </xf>
    <xf numFmtId="0" fontId="26" fillId="0" borderId="8" xfId="0" applyFont="1" applyBorder="1" applyAlignment="1">
      <alignment horizontal="center" vertical="center" wrapText="1"/>
    </xf>
    <xf numFmtId="0" fontId="26" fillId="9" borderId="8" xfId="0" applyFont="1" applyFill="1" applyBorder="1"/>
    <xf numFmtId="181" fontId="26" fillId="0" borderId="8" xfId="4" applyNumberFormat="1" applyFont="1" applyBorder="1" applyAlignment="1">
      <alignment horizontal="center" vertical="center" wrapText="1"/>
    </xf>
    <xf numFmtId="177" fontId="25" fillId="0" borderId="8" xfId="4" applyNumberFormat="1" applyFont="1" applyBorder="1" applyAlignment="1">
      <alignment horizontal="center" vertical="center" wrapText="1"/>
    </xf>
    <xf numFmtId="0" fontId="25" fillId="0" borderId="8" xfId="0" applyFont="1" applyFill="1" applyBorder="1" applyAlignment="1">
      <alignment horizontal="center" vertical="center" wrapText="1"/>
    </xf>
    <xf numFmtId="174" fontId="37" fillId="8" borderId="8" xfId="0" applyNumberFormat="1" applyFont="1" applyFill="1" applyBorder="1" applyAlignment="1">
      <alignment vertical="center" wrapText="1"/>
    </xf>
    <xf numFmtId="0" fontId="26" fillId="0" borderId="8" xfId="0" applyFont="1" applyFill="1" applyBorder="1" applyAlignment="1">
      <alignment horizontal="center" vertical="center" wrapText="1"/>
    </xf>
    <xf numFmtId="181" fontId="26" fillId="0" borderId="7" xfId="4" applyNumberFormat="1" applyFont="1" applyBorder="1" applyAlignment="1">
      <alignment horizontal="center" vertical="center" wrapText="1"/>
    </xf>
    <xf numFmtId="177" fontId="25" fillId="0" borderId="27" xfId="4" applyNumberFormat="1" applyFont="1" applyFill="1" applyBorder="1" applyAlignment="1">
      <alignment horizontal="center" vertical="center" wrapText="1"/>
    </xf>
    <xf numFmtId="0" fontId="25" fillId="0" borderId="15" xfId="0" applyFont="1" applyBorder="1" applyAlignment="1">
      <alignment horizontal="center" vertical="center" wrapText="1"/>
    </xf>
    <xf numFmtId="0" fontId="53" fillId="0" borderId="8" xfId="0" applyFont="1" applyBorder="1" applyAlignment="1">
      <alignment horizontal="center" vertical="center" wrapText="1"/>
    </xf>
    <xf numFmtId="3" fontId="41" fillId="0" borderId="44" xfId="1" applyNumberFormat="1" applyFont="1" applyBorder="1" applyAlignment="1">
      <alignment horizontal="left" vertical="center" wrapText="1"/>
    </xf>
    <xf numFmtId="10" fontId="41" fillId="0" borderId="44" xfId="1" applyNumberFormat="1" applyFont="1" applyFill="1" applyBorder="1" applyAlignment="1">
      <alignment horizontal="center"/>
    </xf>
    <xf numFmtId="10" fontId="41" fillId="0" borderId="44" xfId="1" applyNumberFormat="1" applyFont="1" applyBorder="1" applyAlignment="1">
      <alignment horizontal="center"/>
    </xf>
    <xf numFmtId="3" fontId="42" fillId="9" borderId="44" xfId="1" applyNumberFormat="1" applyFont="1" applyFill="1" applyBorder="1" applyAlignment="1">
      <alignment horizontal="right"/>
    </xf>
    <xf numFmtId="10" fontId="42" fillId="9" borderId="44" xfId="1" applyNumberFormat="1" applyFont="1" applyFill="1" applyBorder="1" applyAlignment="1">
      <alignment horizontal="center"/>
    </xf>
    <xf numFmtId="3" fontId="41" fillId="0" borderId="44" xfId="1" applyNumberFormat="1" applyFont="1" applyBorder="1"/>
    <xf numFmtId="0" fontId="41" fillId="0" borderId="44" xfId="1" applyFont="1" applyBorder="1"/>
    <xf numFmtId="0" fontId="41" fillId="0" borderId="44" xfId="1" applyFont="1" applyBorder="1" applyAlignment="1">
      <alignment horizontal="center"/>
    </xf>
    <xf numFmtId="10" fontId="41" fillId="0" borderId="44" xfId="1" applyNumberFormat="1" applyFont="1" applyBorder="1" applyAlignment="1">
      <alignment horizontal="right"/>
    </xf>
    <xf numFmtId="0" fontId="42" fillId="9" borderId="44" xfId="1" applyFont="1" applyFill="1" applyBorder="1" applyAlignment="1">
      <alignment horizontal="right"/>
    </xf>
    <xf numFmtId="0" fontId="6" fillId="0" borderId="0" xfId="1"/>
    <xf numFmtId="0" fontId="6" fillId="0" borderId="0" xfId="1" applyFill="1"/>
    <xf numFmtId="0" fontId="6" fillId="0" borderId="0" xfId="1" applyFont="1" applyBorder="1"/>
    <xf numFmtId="0" fontId="6" fillId="0" borderId="0" xfId="1" applyFont="1"/>
    <xf numFmtId="0" fontId="6" fillId="0" borderId="0" xfId="1" applyAlignment="1">
      <alignment horizontal="center"/>
    </xf>
    <xf numFmtId="173" fontId="6" fillId="0" borderId="0" xfId="5" applyNumberFormat="1" applyFont="1" applyBorder="1"/>
    <xf numFmtId="3" fontId="40" fillId="8" borderId="52" xfId="1" applyNumberFormat="1" applyFont="1" applyFill="1" applyBorder="1" applyAlignment="1">
      <alignment horizontal="center" vertical="center" wrapText="1"/>
    </xf>
    <xf numFmtId="42" fontId="40" fillId="8" borderId="24" xfId="0" applyNumberFormat="1" applyFont="1" applyFill="1" applyBorder="1" applyAlignment="1">
      <alignment horizontal="center"/>
    </xf>
    <xf numFmtId="3" fontId="40" fillId="8" borderId="50" xfId="1" applyNumberFormat="1" applyFont="1" applyFill="1" applyBorder="1" applyAlignment="1">
      <alignment horizontal="center" vertical="center" wrapText="1"/>
    </xf>
    <xf numFmtId="0" fontId="42" fillId="9" borderId="24" xfId="1" applyFont="1" applyFill="1" applyBorder="1" applyAlignment="1">
      <alignment horizontal="right"/>
    </xf>
    <xf numFmtId="3" fontId="40" fillId="8" borderId="51" xfId="1" applyNumberFormat="1" applyFont="1" applyFill="1" applyBorder="1" applyAlignment="1">
      <alignment horizontal="center" vertical="center" wrapText="1"/>
    </xf>
    <xf numFmtId="10" fontId="42" fillId="9" borderId="24" xfId="1" applyNumberFormat="1" applyFont="1" applyFill="1" applyBorder="1" applyAlignment="1">
      <alignment horizontal="center"/>
    </xf>
    <xf numFmtId="0" fontId="42" fillId="9" borderId="24" xfId="1" applyFont="1" applyFill="1" applyBorder="1"/>
    <xf numFmtId="0" fontId="40" fillId="8" borderId="24" xfId="0" applyFont="1" applyFill="1" applyBorder="1"/>
    <xf numFmtId="0" fontId="41" fillId="0" borderId="24" xfId="0" applyFont="1" applyBorder="1"/>
    <xf numFmtId="42" fontId="41" fillId="0" borderId="24" xfId="0" applyNumberFormat="1" applyFont="1" applyBorder="1"/>
    <xf numFmtId="42" fontId="48" fillId="0" borderId="24" xfId="0" applyNumberFormat="1" applyFont="1" applyBorder="1"/>
    <xf numFmtId="0" fontId="42" fillId="9" borderId="24" xfId="0" applyFont="1" applyFill="1" applyBorder="1" applyAlignment="1">
      <alignment horizontal="left"/>
    </xf>
    <xf numFmtId="42" fontId="42" fillId="9" borderId="24" xfId="0" applyNumberFormat="1" applyFont="1" applyFill="1" applyBorder="1"/>
    <xf numFmtId="0" fontId="41" fillId="0" borderId="49" xfId="0" applyFont="1" applyBorder="1"/>
    <xf numFmtId="0" fontId="41" fillId="9" borderId="49" xfId="0" applyFont="1" applyFill="1" applyBorder="1"/>
    <xf numFmtId="173" fontId="41" fillId="0" borderId="46" xfId="0" applyNumberFormat="1" applyFont="1" applyBorder="1" applyAlignment="1">
      <alignment horizontal="left"/>
    </xf>
    <xf numFmtId="173" fontId="47" fillId="0" borderId="46" xfId="0" applyNumberFormat="1" applyFont="1" applyBorder="1" applyAlignment="1">
      <alignment horizontal="left"/>
    </xf>
    <xf numFmtId="173" fontId="42" fillId="9" borderId="46" xfId="0" applyNumberFormat="1" applyFont="1" applyFill="1" applyBorder="1" applyAlignment="1">
      <alignment horizontal="left"/>
    </xf>
    <xf numFmtId="0" fontId="25" fillId="0" borderId="8" xfId="1" applyFont="1" applyFill="1" applyBorder="1" applyAlignment="1">
      <alignment vertical="center" wrapText="1"/>
    </xf>
    <xf numFmtId="0" fontId="6" fillId="11" borderId="0" xfId="1" applyFill="1"/>
    <xf numFmtId="0" fontId="44" fillId="8" borderId="53" xfId="1" applyFont="1" applyFill="1" applyBorder="1" applyAlignment="1">
      <alignment horizontal="center"/>
    </xf>
    <xf numFmtId="0" fontId="37" fillId="8" borderId="39" xfId="1" applyFont="1" applyFill="1" applyBorder="1" applyAlignment="1">
      <alignment horizontal="center" wrapText="1"/>
    </xf>
    <xf numFmtId="0" fontId="37" fillId="8" borderId="39" xfId="1" applyFont="1" applyFill="1" applyBorder="1" applyAlignment="1">
      <alignment horizontal="center"/>
    </xf>
    <xf numFmtId="49" fontId="37" fillId="8" borderId="40" xfId="4" applyNumberFormat="1" applyFont="1" applyFill="1" applyBorder="1" applyAlignment="1">
      <alignment horizontal="center" wrapText="1"/>
    </xf>
    <xf numFmtId="0" fontId="37" fillId="8" borderId="40" xfId="1" applyFont="1" applyFill="1" applyBorder="1" applyAlignment="1">
      <alignment horizontal="center"/>
    </xf>
    <xf numFmtId="0" fontId="44" fillId="8" borderId="39" xfId="1" applyFont="1" applyFill="1" applyBorder="1" applyAlignment="1">
      <alignment horizontal="center"/>
    </xf>
    <xf numFmtId="0" fontId="8" fillId="0" borderId="0" xfId="1" applyFont="1"/>
    <xf numFmtId="0" fontId="26" fillId="0" borderId="0" xfId="1" applyFont="1"/>
    <xf numFmtId="3" fontId="40" fillId="8" borderId="51" xfId="1" applyNumberFormat="1" applyFont="1" applyFill="1" applyBorder="1" applyAlignment="1">
      <alignment horizontal="center" vertical="center" wrapText="1"/>
    </xf>
    <xf numFmtId="0" fontId="42" fillId="0" borderId="0" xfId="0" applyFont="1" applyBorder="1" applyAlignment="1">
      <alignment horizontal="left"/>
    </xf>
    <xf numFmtId="174" fontId="41" fillId="0" borderId="0" xfId="4" applyNumberFormat="1" applyFont="1" applyBorder="1"/>
    <xf numFmtId="173" fontId="6" fillId="0" borderId="0" xfId="0" applyNumberFormat="1" applyFont="1" applyBorder="1" applyAlignment="1">
      <alignment horizontal="right"/>
    </xf>
    <xf numFmtId="173" fontId="6" fillId="0" borderId="0" xfId="0" applyNumberFormat="1" applyFont="1" applyBorder="1"/>
    <xf numFmtId="0" fontId="41" fillId="0" borderId="0" xfId="0" applyFont="1" applyBorder="1" applyAlignment="1">
      <alignment horizontal="left"/>
    </xf>
    <xf numFmtId="174" fontId="25" fillId="0" borderId="8" xfId="0" applyNumberFormat="1" applyFont="1" applyFill="1" applyBorder="1" applyAlignment="1">
      <alignment horizontal="center" vertical="center" wrapText="1"/>
    </xf>
    <xf numFmtId="174" fontId="26" fillId="0" borderId="8" xfId="0" applyNumberFormat="1" applyFont="1" applyBorder="1" applyAlignment="1">
      <alignment horizontal="center" vertical="center" wrapText="1"/>
    </xf>
    <xf numFmtId="174" fontId="25" fillId="0" borderId="8" xfId="0" applyNumberFormat="1" applyFont="1" applyFill="1" applyBorder="1" applyAlignment="1">
      <alignment horizontal="center" vertical="center" wrapText="1"/>
    </xf>
    <xf numFmtId="0" fontId="25" fillId="0" borderId="8" xfId="0" applyFont="1" applyBorder="1" applyAlignment="1">
      <alignment horizontal="center" vertical="center" wrapText="1"/>
    </xf>
    <xf numFmtId="3" fontId="40" fillId="8" borderId="51" xfId="1" applyNumberFormat="1" applyFont="1" applyFill="1" applyBorder="1" applyAlignment="1">
      <alignment horizontal="center" vertical="center" wrapText="1"/>
    </xf>
    <xf numFmtId="0" fontId="25" fillId="0" borderId="8" xfId="1" applyFont="1" applyBorder="1" applyAlignment="1">
      <alignment horizontal="left" indent="1"/>
    </xf>
    <xf numFmtId="0" fontId="26" fillId="0" borderId="0" xfId="0" applyFont="1" applyAlignment="1">
      <alignment horizontal="center"/>
    </xf>
    <xf numFmtId="0" fontId="54" fillId="8" borderId="0" xfId="1" applyFont="1" applyFill="1"/>
    <xf numFmtId="0" fontId="40" fillId="8" borderId="19" xfId="1" applyFont="1" applyFill="1" applyBorder="1" applyAlignment="1">
      <alignment horizontal="center"/>
    </xf>
    <xf numFmtId="0" fontId="40" fillId="8" borderId="58" xfId="1" applyFont="1" applyFill="1" applyBorder="1" applyAlignment="1">
      <alignment horizontal="center"/>
    </xf>
    <xf numFmtId="0" fontId="40" fillId="8" borderId="30" xfId="1" applyFont="1" applyFill="1" applyBorder="1" applyAlignment="1">
      <alignment horizontal="center"/>
    </xf>
    <xf numFmtId="0" fontId="41" fillId="0" borderId="8" xfId="1" applyFont="1" applyBorder="1"/>
    <xf numFmtId="0" fontId="41" fillId="0" borderId="8" xfId="1" applyFont="1" applyBorder="1" applyAlignment="1">
      <alignment horizontal="left"/>
    </xf>
    <xf numFmtId="0" fontId="10" fillId="7" borderId="0" xfId="0" applyFont="1" applyFill="1" applyAlignment="1">
      <alignment horizontal="right"/>
    </xf>
    <xf numFmtId="0" fontId="10" fillId="0" borderId="0" xfId="0" applyFont="1" applyAlignment="1">
      <alignment horizontal="left"/>
    </xf>
    <xf numFmtId="0" fontId="10" fillId="0" borderId="0" xfId="0" applyFont="1" applyAlignment="1">
      <alignment horizontal="right"/>
    </xf>
    <xf numFmtId="0" fontId="26" fillId="9" borderId="8" xfId="0" applyFont="1" applyFill="1" applyBorder="1" applyAlignment="1">
      <alignment horizontal="left"/>
    </xf>
    <xf numFmtId="0" fontId="55" fillId="0" borderId="0" xfId="0" applyFont="1"/>
    <xf numFmtId="0" fontId="26" fillId="9" borderId="8" xfId="0" applyFont="1" applyFill="1" applyBorder="1" applyAlignment="1">
      <alignment horizontal="left"/>
    </xf>
    <xf numFmtId="165" fontId="25" fillId="0" borderId="14" xfId="0" applyNumberFormat="1" applyFont="1" applyBorder="1" applyAlignment="1">
      <alignment horizontal="center"/>
    </xf>
    <xf numFmtId="165" fontId="25" fillId="0" borderId="6" xfId="0" applyNumberFormat="1" applyFont="1" applyBorder="1" applyAlignment="1">
      <alignment horizontal="center"/>
    </xf>
    <xf numFmtId="42" fontId="36" fillId="9" borderId="8" xfId="4" applyNumberFormat="1" applyFont="1" applyFill="1" applyBorder="1" applyAlignment="1">
      <alignment horizontal="center"/>
    </xf>
    <xf numFmtId="0" fontId="25" fillId="0" borderId="6" xfId="0" applyFont="1" applyFill="1" applyBorder="1" applyAlignment="1"/>
    <xf numFmtId="165" fontId="25" fillId="0" borderId="6" xfId="4" applyNumberFormat="1" applyFont="1" applyFill="1" applyBorder="1" applyAlignment="1">
      <alignment horizontal="center"/>
    </xf>
    <xf numFmtId="165" fontId="25" fillId="0" borderId="6" xfId="4" applyNumberFormat="1" applyFont="1" applyBorder="1" applyAlignment="1">
      <alignment horizontal="center"/>
    </xf>
    <xf numFmtId="0" fontId="25" fillId="0" borderId="9" xfId="0" applyFont="1" applyFill="1" applyBorder="1" applyAlignment="1"/>
    <xf numFmtId="42" fontId="25" fillId="0" borderId="3" xfId="0" applyNumberFormat="1" applyFont="1" applyFill="1" applyBorder="1" applyAlignment="1">
      <alignment horizontal="center"/>
    </xf>
    <xf numFmtId="165" fontId="25" fillId="0" borderId="14" xfId="4" applyNumberFormat="1" applyFont="1" applyBorder="1" applyAlignment="1">
      <alignment horizontal="center"/>
    </xf>
    <xf numFmtId="0" fontId="25" fillId="0" borderId="3" xfId="0" applyFont="1" applyFill="1" applyBorder="1" applyAlignment="1">
      <alignment horizontal="left" indent="1"/>
    </xf>
    <xf numFmtId="0" fontId="25" fillId="0" borderId="14" xfId="0" applyFont="1" applyFill="1" applyBorder="1" applyAlignment="1">
      <alignment wrapText="1"/>
    </xf>
    <xf numFmtId="3" fontId="40" fillId="8" borderId="51" xfId="1" applyNumberFormat="1" applyFont="1" applyFill="1" applyBorder="1" applyAlignment="1">
      <alignment horizontal="center" vertical="center" wrapText="1"/>
    </xf>
    <xf numFmtId="0" fontId="6" fillId="2" borderId="0" xfId="0" applyFont="1" applyFill="1"/>
    <xf numFmtId="0" fontId="0" fillId="3" borderId="0" xfId="0" applyFill="1"/>
    <xf numFmtId="0" fontId="26" fillId="9" borderId="8" xfId="0" applyFont="1" applyFill="1" applyBorder="1" applyAlignment="1">
      <alignment horizontal="left" indent="4"/>
    </xf>
    <xf numFmtId="0" fontId="37" fillId="8" borderId="8" xfId="0" applyFont="1" applyFill="1" applyBorder="1" applyAlignment="1">
      <alignment horizontal="center" vertical="center" wrapText="1"/>
    </xf>
    <xf numFmtId="0" fontId="25" fillId="0" borderId="8" xfId="0" applyFont="1" applyBorder="1" applyAlignment="1">
      <alignment horizontal="center" vertical="top" wrapText="1"/>
    </xf>
    <xf numFmtId="0" fontId="25" fillId="0" borderId="8" xfId="0" applyFont="1" applyBorder="1" applyAlignment="1">
      <alignment horizontal="center" vertical="center" wrapText="1"/>
    </xf>
    <xf numFmtId="174" fontId="26" fillId="0" borderId="8" xfId="0" applyNumberFormat="1" applyFont="1" applyBorder="1" applyAlignment="1">
      <alignment horizontal="center" vertical="center" wrapText="1"/>
    </xf>
    <xf numFmtId="0" fontId="25" fillId="0" borderId="8" xfId="0" applyFont="1" applyFill="1" applyBorder="1" applyAlignment="1">
      <alignment horizontal="center" vertical="top" wrapText="1"/>
    </xf>
    <xf numFmtId="0" fontId="25" fillId="0" borderId="7"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25" fillId="0" borderId="27" xfId="0" applyFont="1" applyFill="1" applyBorder="1" applyAlignment="1">
      <alignment horizontal="center" vertical="center" wrapText="1"/>
    </xf>
    <xf numFmtId="174" fontId="25" fillId="0" borderId="8" xfId="0" applyNumberFormat="1"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0" borderId="8" xfId="0" applyFont="1" applyBorder="1" applyAlignment="1">
      <alignment horizontal="left" wrapText="1"/>
    </xf>
    <xf numFmtId="0" fontId="25" fillId="0" borderId="8" xfId="0" applyFont="1" applyBorder="1" applyAlignment="1">
      <alignment horizontal="left"/>
    </xf>
    <xf numFmtId="0" fontId="0" fillId="4" borderId="0" xfId="0" applyFill="1"/>
    <xf numFmtId="0" fontId="6" fillId="4" borderId="0" xfId="0" applyFont="1" applyFill="1"/>
    <xf numFmtId="187" fontId="25" fillId="0" borderId="8" xfId="5" applyNumberFormat="1" applyFont="1" applyFill="1" applyBorder="1" applyAlignment="1"/>
    <xf numFmtId="187" fontId="26" fillId="9" borderId="8" xfId="4" applyNumberFormat="1" applyFont="1" applyFill="1" applyBorder="1" applyAlignment="1">
      <alignment horizontal="right"/>
    </xf>
    <xf numFmtId="187" fontId="34" fillId="9" borderId="8" xfId="1" applyNumberFormat="1" applyFont="1" applyFill="1" applyBorder="1"/>
    <xf numFmtId="187" fontId="36" fillId="9" borderId="8" xfId="6" applyNumberFormat="1" applyFont="1" applyFill="1" applyBorder="1" applyAlignment="1">
      <alignment horizontal="right"/>
    </xf>
    <xf numFmtId="10" fontId="41" fillId="0" borderId="61" xfId="0" applyNumberFormat="1" applyFont="1" applyBorder="1" applyAlignment="1">
      <alignment horizontal="center"/>
    </xf>
    <xf numFmtId="3" fontId="40" fillId="8" borderId="51" xfId="1" applyNumberFormat="1" applyFont="1" applyFill="1" applyBorder="1" applyAlignment="1">
      <alignment horizontal="center" vertical="center" wrapText="1"/>
    </xf>
    <xf numFmtId="0" fontId="0" fillId="0" borderId="0" xfId="0" applyAlignment="1"/>
    <xf numFmtId="3" fontId="41" fillId="0" borderId="61" xfId="1" applyNumberFormat="1" applyFont="1" applyBorder="1" applyAlignment="1">
      <alignment horizontal="left" vertical="center" wrapText="1"/>
    </xf>
    <xf numFmtId="10" fontId="41" fillId="0" borderId="61" xfId="1" applyNumberFormat="1" applyFont="1" applyFill="1" applyBorder="1" applyAlignment="1">
      <alignment horizontal="center"/>
    </xf>
    <xf numFmtId="0" fontId="41" fillId="0" borderId="61" xfId="1" applyFont="1" applyBorder="1"/>
    <xf numFmtId="3" fontId="42" fillId="9" borderId="61" xfId="1" applyNumberFormat="1" applyFont="1" applyFill="1" applyBorder="1" applyAlignment="1">
      <alignment horizontal="right"/>
    </xf>
    <xf numFmtId="10" fontId="42" fillId="9" borderId="61" xfId="1" applyNumberFormat="1" applyFont="1" applyFill="1" applyBorder="1" applyAlignment="1">
      <alignment horizontal="center"/>
    </xf>
    <xf numFmtId="0" fontId="42" fillId="9" borderId="61" xfId="1" applyFont="1" applyFill="1" applyBorder="1" applyAlignment="1">
      <alignment horizontal="right"/>
    </xf>
    <xf numFmtId="174" fontId="25" fillId="0" borderId="8" xfId="0" applyNumberFormat="1" applyFont="1" applyFill="1" applyBorder="1" applyAlignment="1">
      <alignment horizontal="center" vertical="center" wrapText="1"/>
    </xf>
    <xf numFmtId="3" fontId="6" fillId="0" borderId="0" xfId="1" applyNumberFormat="1" applyFill="1"/>
    <xf numFmtId="43" fontId="6" fillId="0" borderId="0" xfId="1" applyNumberFormat="1" applyFill="1"/>
    <xf numFmtId="43" fontId="6" fillId="0" borderId="0" xfId="1" applyNumberFormat="1"/>
    <xf numFmtId="43" fontId="12" fillId="0" borderId="0" xfId="1" applyNumberFormat="1" applyFont="1"/>
    <xf numFmtId="0" fontId="25" fillId="0" borderId="8" xfId="0" applyFont="1" applyBorder="1" applyAlignment="1">
      <alignment horizontal="center" wrapText="1"/>
    </xf>
    <xf numFmtId="0" fontId="23" fillId="0" borderId="0" xfId="1" applyFont="1" applyAlignment="1">
      <alignment horizontal="center"/>
    </xf>
    <xf numFmtId="0" fontId="8" fillId="0" borderId="0" xfId="1" applyFont="1" applyBorder="1" applyAlignment="1">
      <alignment horizontal="center"/>
    </xf>
    <xf numFmtId="0" fontId="6" fillId="0" borderId="0" xfId="1" applyAlignment="1">
      <alignment horizontal="center"/>
    </xf>
    <xf numFmtId="0" fontId="52" fillId="0" borderId="0" xfId="0" applyFont="1" applyAlignment="1">
      <alignment horizontal="center"/>
    </xf>
    <xf numFmtId="164" fontId="26" fillId="0" borderId="0" xfId="4" applyNumberFormat="1" applyFont="1" applyFill="1" applyBorder="1" applyAlignment="1">
      <alignment horizontal="center"/>
    </xf>
    <xf numFmtId="0" fontId="26" fillId="0" borderId="0" xfId="1" applyFont="1" applyFill="1" applyBorder="1" applyAlignment="1">
      <alignment horizontal="center"/>
    </xf>
    <xf numFmtId="43" fontId="6" fillId="0" borderId="0" xfId="24" applyFont="1"/>
    <xf numFmtId="0" fontId="25" fillId="0" borderId="0" xfId="0" applyFont="1" applyBorder="1" applyAlignment="1"/>
    <xf numFmtId="10" fontId="25" fillId="0" borderId="0" xfId="0" applyNumberFormat="1" applyFont="1" applyAlignment="1">
      <alignment horizontal="center" vertical="center" wrapText="1"/>
    </xf>
    <xf numFmtId="10" fontId="26" fillId="0" borderId="0" xfId="0" applyNumberFormat="1" applyFont="1" applyAlignment="1">
      <alignment horizontal="center" vertical="center" wrapText="1"/>
    </xf>
    <xf numFmtId="0" fontId="6" fillId="0" borderId="0" xfId="2"/>
    <xf numFmtId="0" fontId="41" fillId="0" borderId="0" xfId="2" applyFont="1"/>
    <xf numFmtId="0" fontId="42" fillId="0" borderId="0" xfId="2" applyFont="1" applyAlignment="1">
      <alignment horizontal="left"/>
    </xf>
    <xf numFmtId="173" fontId="6" fillId="0" borderId="0" xfId="2" applyNumberFormat="1" applyAlignment="1">
      <alignment horizontal="right"/>
    </xf>
    <xf numFmtId="173" fontId="6" fillId="0" borderId="0" xfId="2" applyNumberFormat="1"/>
    <xf numFmtId="0" fontId="41" fillId="0" borderId="0" xfId="2" applyFont="1" applyAlignment="1">
      <alignment horizontal="left"/>
    </xf>
    <xf numFmtId="3" fontId="41" fillId="0" borderId="61" xfId="2" applyNumberFormat="1" applyFont="1" applyBorder="1"/>
    <xf numFmtId="3" fontId="41" fillId="0" borderId="56" xfId="2" applyNumberFormat="1" applyFont="1" applyBorder="1"/>
    <xf numFmtId="174" fontId="41" fillId="0" borderId="57" xfId="2" applyNumberFormat="1" applyFont="1" applyBorder="1" applyAlignment="1">
      <alignment horizontal="right"/>
    </xf>
    <xf numFmtId="9" fontId="41" fillId="0" borderId="61" xfId="2" applyNumberFormat="1" applyFont="1" applyBorder="1" applyAlignment="1">
      <alignment horizontal="center"/>
    </xf>
    <xf numFmtId="0" fontId="6" fillId="0" borderId="0" xfId="2"/>
    <xf numFmtId="0" fontId="20" fillId="0" borderId="0" xfId="2" applyFont="1"/>
    <xf numFmtId="3" fontId="40" fillId="8" borderId="63" xfId="1" applyNumberFormat="1" applyFont="1" applyFill="1" applyBorder="1" applyAlignment="1">
      <alignment horizontal="center" vertical="center" wrapText="1"/>
    </xf>
    <xf numFmtId="3" fontId="40" fillId="8" borderId="64" xfId="1" applyNumberFormat="1" applyFont="1" applyFill="1" applyBorder="1" applyAlignment="1">
      <alignment horizontal="center" vertical="center" wrapText="1"/>
    </xf>
    <xf numFmtId="3" fontId="18" fillId="0" borderId="0" xfId="1" applyNumberFormat="1" applyFont="1" applyAlignment="1">
      <alignment horizontal="left" vertical="top"/>
    </xf>
    <xf numFmtId="165" fontId="6" fillId="0" borderId="0" xfId="1" applyNumberFormat="1"/>
    <xf numFmtId="173" fontId="6" fillId="0" borderId="0" xfId="1" applyNumberFormat="1"/>
    <xf numFmtId="9" fontId="41" fillId="0" borderId="61" xfId="1" applyNumberFormat="1" applyFont="1" applyBorder="1" applyAlignment="1">
      <alignment horizontal="center"/>
    </xf>
    <xf numFmtId="9" fontId="42" fillId="9" borderId="61" xfId="1" applyNumberFormat="1" applyFont="1" applyFill="1" applyBorder="1" applyAlignment="1">
      <alignment horizontal="center"/>
    </xf>
    <xf numFmtId="3" fontId="41" fillId="0" borderId="61" xfId="1" applyNumberFormat="1" applyFont="1" applyBorder="1"/>
    <xf numFmtId="9" fontId="41" fillId="0" borderId="61" xfId="1" applyNumberFormat="1" applyFont="1" applyBorder="1" applyAlignment="1">
      <alignment horizontal="right"/>
    </xf>
    <xf numFmtId="0" fontId="42" fillId="9" borderId="61" xfId="1" applyFont="1" applyFill="1" applyBorder="1"/>
    <xf numFmtId="9" fontId="42" fillId="0" borderId="61" xfId="1" applyNumberFormat="1" applyFont="1" applyBorder="1" applyAlignment="1">
      <alignment horizontal="center"/>
    </xf>
    <xf numFmtId="10" fontId="41" fillId="0" borderId="61" xfId="1" applyNumberFormat="1" applyFont="1" applyBorder="1" applyAlignment="1">
      <alignment horizontal="center"/>
    </xf>
    <xf numFmtId="10" fontId="41" fillId="0" borderId="61" xfId="1" applyNumberFormat="1" applyFont="1" applyBorder="1" applyAlignment="1">
      <alignment horizontal="right"/>
    </xf>
    <xf numFmtId="0" fontId="8" fillId="0" borderId="15" xfId="1" applyFont="1" applyBorder="1" applyAlignment="1">
      <alignment horizontal="center"/>
    </xf>
    <xf numFmtId="0" fontId="8" fillId="0" borderId="22" xfId="1" applyFont="1" applyBorder="1" applyAlignment="1">
      <alignment horizontal="center"/>
    </xf>
    <xf numFmtId="0" fontId="8" fillId="0" borderId="27" xfId="1" applyFont="1" applyBorder="1" applyAlignment="1">
      <alignment horizontal="center"/>
    </xf>
    <xf numFmtId="0" fontId="26" fillId="0" borderId="4" xfId="1" applyFont="1" applyFill="1" applyBorder="1" applyAlignment="1">
      <alignment horizontal="center"/>
    </xf>
    <xf numFmtId="164" fontId="26" fillId="0" borderId="4" xfId="4" applyNumberFormat="1" applyFont="1" applyFill="1" applyBorder="1" applyAlignment="1">
      <alignment horizontal="center"/>
    </xf>
    <xf numFmtId="0" fontId="26" fillId="0" borderId="22" xfId="1" applyFont="1" applyFill="1" applyBorder="1" applyAlignment="1">
      <alignment horizontal="center"/>
    </xf>
    <xf numFmtId="164" fontId="26" fillId="0" borderId="22" xfId="4" applyNumberFormat="1" applyFont="1" applyFill="1" applyBorder="1" applyAlignment="1">
      <alignment horizontal="center"/>
    </xf>
    <xf numFmtId="0" fontId="25" fillId="0" borderId="22" xfId="0" applyFont="1" applyBorder="1" applyAlignment="1"/>
    <xf numFmtId="0" fontId="23" fillId="0" borderId="0" xfId="1" applyFont="1" applyAlignment="1">
      <alignment horizontal="center"/>
    </xf>
    <xf numFmtId="0" fontId="52" fillId="0" borderId="0" xfId="0" applyFont="1" applyAlignment="1">
      <alignment horizontal="center"/>
    </xf>
    <xf numFmtId="3" fontId="41" fillId="0" borderId="45" xfId="1" applyNumberFormat="1" applyFont="1" applyBorder="1" applyAlignment="1">
      <alignment horizontal="center"/>
    </xf>
    <xf numFmtId="3" fontId="41" fillId="0" borderId="46" xfId="1" applyNumberFormat="1" applyFont="1" applyBorder="1" applyAlignment="1">
      <alignment horizontal="center"/>
    </xf>
    <xf numFmtId="0" fontId="43" fillId="0" borderId="45" xfId="1" applyFont="1" applyBorder="1" applyAlignment="1">
      <alignment horizontal="left"/>
    </xf>
    <xf numFmtId="0" fontId="43" fillId="0" borderId="47" xfId="1" applyFont="1" applyBorder="1" applyAlignment="1">
      <alignment horizontal="left"/>
    </xf>
    <xf numFmtId="0" fontId="43" fillId="0" borderId="46" xfId="1" applyFont="1" applyBorder="1" applyAlignment="1">
      <alignment horizontal="left"/>
    </xf>
    <xf numFmtId="174" fontId="42" fillId="9" borderId="56" xfId="4" applyNumberFormat="1" applyFont="1" applyFill="1" applyBorder="1" applyAlignment="1">
      <alignment horizontal="center"/>
    </xf>
    <xf numFmtId="0" fontId="0" fillId="0" borderId="57" xfId="0" applyBorder="1" applyAlignment="1"/>
    <xf numFmtId="174" fontId="41" fillId="0" borderId="44" xfId="1" applyNumberFormat="1" applyFont="1" applyFill="1" applyBorder="1" applyAlignment="1">
      <alignment horizontal="center"/>
    </xf>
    <xf numFmtId="174" fontId="42" fillId="9" borderId="44" xfId="1" applyNumberFormat="1" applyFont="1" applyFill="1" applyBorder="1" applyAlignment="1">
      <alignment horizontal="center"/>
    </xf>
    <xf numFmtId="0" fontId="42" fillId="0" borderId="45" xfId="1" applyFont="1" applyBorder="1" applyAlignment="1">
      <alignment horizontal="center"/>
    </xf>
    <xf numFmtId="0" fontId="42" fillId="0" borderId="47" xfId="1" applyFont="1" applyBorder="1" applyAlignment="1">
      <alignment horizontal="center"/>
    </xf>
    <xf numFmtId="0" fontId="42" fillId="0" borderId="46" xfId="1" applyFont="1" applyBorder="1" applyAlignment="1">
      <alignment horizontal="center"/>
    </xf>
    <xf numFmtId="174" fontId="42" fillId="9" borderId="44" xfId="4" applyNumberFormat="1" applyFont="1" applyFill="1" applyBorder="1" applyAlignment="1">
      <alignment horizontal="center"/>
    </xf>
    <xf numFmtId="3" fontId="40" fillId="8" borderId="51" xfId="1" applyNumberFormat="1" applyFont="1" applyFill="1" applyBorder="1" applyAlignment="1">
      <alignment horizontal="center" vertical="center" wrapText="1"/>
    </xf>
    <xf numFmtId="174" fontId="41" fillId="0" borderId="54" xfId="1" applyNumberFormat="1" applyFont="1" applyFill="1" applyBorder="1" applyAlignment="1">
      <alignment horizontal="center"/>
    </xf>
    <xf numFmtId="174" fontId="41" fillId="0" borderId="55" xfId="1" applyNumberFormat="1" applyFont="1" applyFill="1" applyBorder="1" applyAlignment="1">
      <alignment horizontal="center"/>
    </xf>
    <xf numFmtId="174" fontId="41" fillId="0" borderId="44" xfId="1" applyNumberFormat="1" applyFont="1" applyBorder="1" applyAlignment="1">
      <alignment horizontal="center"/>
    </xf>
    <xf numFmtId="0" fontId="41" fillId="0" borderId="45" xfId="1" applyFont="1" applyBorder="1" applyAlignment="1">
      <alignment horizontal="center"/>
    </xf>
    <xf numFmtId="0" fontId="41" fillId="0" borderId="46" xfId="1" applyFont="1" applyBorder="1" applyAlignment="1">
      <alignment horizontal="center"/>
    </xf>
    <xf numFmtId="0" fontId="0" fillId="0" borderId="0" xfId="0" applyAlignment="1">
      <alignment horizontal="center"/>
    </xf>
    <xf numFmtId="174" fontId="41" fillId="0" borderId="61" xfId="1" applyNumberFormat="1" applyFont="1" applyFill="1" applyBorder="1" applyAlignment="1">
      <alignment horizontal="center"/>
    </xf>
    <xf numFmtId="174" fontId="42" fillId="9" borderId="61" xfId="1" applyNumberFormat="1" applyFont="1" applyFill="1" applyBorder="1" applyAlignment="1">
      <alignment horizontal="center"/>
    </xf>
    <xf numFmtId="0" fontId="43" fillId="0" borderId="59" xfId="1" applyFont="1" applyBorder="1" applyAlignment="1">
      <alignment horizontal="left"/>
    </xf>
    <xf numFmtId="0" fontId="0" fillId="0" borderId="60" xfId="0" applyBorder="1" applyAlignment="1"/>
    <xf numFmtId="0" fontId="0" fillId="0" borderId="62" xfId="0" applyBorder="1" applyAlignment="1"/>
    <xf numFmtId="0" fontId="42" fillId="0" borderId="56" xfId="1" applyFont="1" applyBorder="1" applyAlignment="1">
      <alignment horizontal="center"/>
    </xf>
    <xf numFmtId="0" fontId="42" fillId="0" borderId="57" xfId="1" applyFont="1" applyBorder="1" applyAlignment="1">
      <alignment horizontal="center"/>
    </xf>
    <xf numFmtId="0" fontId="0" fillId="0" borderId="0" xfId="0" applyAlignment="1"/>
    <xf numFmtId="0" fontId="42" fillId="0" borderId="59" xfId="1" applyFont="1" applyBorder="1" applyAlignment="1">
      <alignment horizontal="center"/>
    </xf>
    <xf numFmtId="0" fontId="42" fillId="0" borderId="60" xfId="1" applyFont="1" applyBorder="1" applyAlignment="1">
      <alignment horizontal="center"/>
    </xf>
    <xf numFmtId="174" fontId="42" fillId="9" borderId="61" xfId="4" applyNumberFormat="1" applyFont="1" applyFill="1" applyBorder="1" applyAlignment="1">
      <alignment horizontal="center"/>
    </xf>
    <xf numFmtId="0" fontId="6" fillId="0" borderId="57" xfId="2" applyBorder="1"/>
    <xf numFmtId="0" fontId="6" fillId="0" borderId="60" xfId="2" applyBorder="1"/>
    <xf numFmtId="0" fontId="41" fillId="0" borderId="56" xfId="1" applyFont="1" applyBorder="1" applyAlignment="1">
      <alignment horizontal="center"/>
    </xf>
    <xf numFmtId="0" fontId="41" fillId="0" borderId="57" xfId="1" applyFont="1" applyBorder="1" applyAlignment="1">
      <alignment horizontal="center"/>
    </xf>
    <xf numFmtId="3" fontId="41" fillId="0" borderId="56" xfId="1" applyNumberFormat="1" applyFont="1" applyBorder="1" applyAlignment="1">
      <alignment horizontal="center"/>
    </xf>
    <xf numFmtId="3" fontId="41" fillId="0" borderId="57" xfId="1" applyNumberFormat="1" applyFont="1" applyBorder="1" applyAlignment="1">
      <alignment horizontal="center"/>
    </xf>
    <xf numFmtId="174" fontId="41" fillId="0" borderId="61" xfId="1" applyNumberFormat="1" applyFont="1" applyBorder="1" applyAlignment="1">
      <alignment horizontal="center"/>
    </xf>
    <xf numFmtId="3" fontId="40" fillId="8" borderId="63" xfId="1" applyNumberFormat="1" applyFont="1" applyFill="1" applyBorder="1" applyAlignment="1">
      <alignment horizontal="center" vertical="center" wrapText="1"/>
    </xf>
    <xf numFmtId="0" fontId="6" fillId="0" borderId="0" xfId="2"/>
    <xf numFmtId="174" fontId="41" fillId="0" borderId="56" xfId="1" applyNumberFormat="1" applyFont="1" applyBorder="1" applyAlignment="1">
      <alignment horizontal="center"/>
    </xf>
    <xf numFmtId="174" fontId="41" fillId="0" borderId="57" xfId="1" applyNumberFormat="1" applyFont="1" applyBorder="1" applyAlignment="1">
      <alignment horizontal="center"/>
    </xf>
    <xf numFmtId="174" fontId="42" fillId="9" borderId="57" xfId="4" applyNumberFormat="1" applyFont="1" applyFill="1" applyBorder="1" applyAlignment="1">
      <alignment horizontal="center"/>
    </xf>
    <xf numFmtId="0" fontId="25" fillId="0" borderId="0" xfId="1" applyFont="1" applyAlignment="1">
      <alignment wrapText="1"/>
    </xf>
    <xf numFmtId="0" fontId="25" fillId="0" borderId="0" xfId="0" applyFont="1" applyAlignment="1">
      <alignment wrapText="1"/>
    </xf>
    <xf numFmtId="0" fontId="6" fillId="0" borderId="0" xfId="1" applyFont="1" applyAlignment="1">
      <alignment horizontal="left" wrapText="1"/>
    </xf>
    <xf numFmtId="0" fontId="23" fillId="0" borderId="0" xfId="1" applyFont="1" applyBorder="1" applyAlignment="1">
      <alignment horizontal="center"/>
    </xf>
    <xf numFmtId="0" fontId="8" fillId="0" borderId="0" xfId="1" applyFont="1" applyBorder="1" applyAlignment="1">
      <alignment horizontal="center"/>
    </xf>
    <xf numFmtId="0" fontId="42" fillId="0" borderId="4" xfId="1" applyFont="1" applyBorder="1" applyAlignment="1">
      <alignment horizontal="center"/>
    </xf>
    <xf numFmtId="0" fontId="4" fillId="0" borderId="0" xfId="1" applyFont="1" applyAlignment="1">
      <alignment horizontal="left" wrapText="1"/>
    </xf>
    <xf numFmtId="0" fontId="26" fillId="0" borderId="0" xfId="0" applyFont="1" applyAlignment="1">
      <alignment horizontal="center"/>
    </xf>
    <xf numFmtId="0" fontId="23" fillId="0" borderId="0" xfId="0" applyFont="1" applyAlignment="1">
      <alignment horizontal="center"/>
    </xf>
    <xf numFmtId="0" fontId="6" fillId="0" borderId="0" xfId="1" applyAlignment="1">
      <alignment horizontal="center"/>
    </xf>
    <xf numFmtId="0" fontId="40" fillId="8" borderId="0" xfId="1" applyFont="1" applyFill="1" applyAlignment="1">
      <alignment horizontal="center"/>
    </xf>
    <xf numFmtId="0" fontId="23" fillId="0" borderId="0" xfId="1" applyFont="1" applyAlignment="1">
      <alignment horizontal="center" wrapText="1"/>
    </xf>
    <xf numFmtId="0" fontId="26" fillId="0" borderId="4" xfId="0" applyFont="1" applyBorder="1" applyAlignment="1">
      <alignment horizontal="center"/>
    </xf>
    <xf numFmtId="0" fontId="26" fillId="0" borderId="4" xfId="0" applyFont="1" applyFill="1" applyBorder="1" applyAlignment="1">
      <alignment horizontal="center"/>
    </xf>
    <xf numFmtId="0" fontId="26" fillId="9" borderId="8" xfId="0" applyFont="1" applyFill="1" applyBorder="1" applyAlignment="1">
      <alignment horizontal="left"/>
    </xf>
    <xf numFmtId="0" fontId="5" fillId="0" borderId="0" xfId="0" applyFont="1" applyAlignment="1">
      <alignment horizontal="center"/>
    </xf>
    <xf numFmtId="0" fontId="26" fillId="0" borderId="22" xfId="0" applyFont="1" applyFill="1" applyBorder="1" applyAlignment="1">
      <alignment horizontal="center"/>
    </xf>
    <xf numFmtId="0" fontId="41" fillId="0" borderId="49" xfId="0" applyFont="1" applyBorder="1" applyAlignment="1">
      <alignment horizontal="center"/>
    </xf>
    <xf numFmtId="0" fontId="41" fillId="0" borderId="47" xfId="0" applyFont="1" applyBorder="1" applyAlignment="1">
      <alignment horizontal="center"/>
    </xf>
    <xf numFmtId="0" fontId="41" fillId="0" borderId="46" xfId="0" applyFont="1" applyBorder="1" applyAlignment="1">
      <alignment horizontal="center"/>
    </xf>
    <xf numFmtId="0" fontId="8" fillId="0" borderId="0" xfId="0" applyFont="1" applyAlignment="1">
      <alignment horizontal="center"/>
    </xf>
    <xf numFmtId="0" fontId="40" fillId="8" borderId="49" xfId="0" applyFont="1" applyFill="1" applyBorder="1" applyAlignment="1">
      <alignment horizontal="center" wrapText="1"/>
    </xf>
    <xf numFmtId="0" fontId="40" fillId="8" borderId="46" xfId="0" applyFont="1" applyFill="1" applyBorder="1" applyAlignment="1">
      <alignment horizontal="center" wrapText="1"/>
    </xf>
    <xf numFmtId="0" fontId="8" fillId="0" borderId="13" xfId="1" applyFont="1" applyBorder="1" applyAlignment="1">
      <alignment horizontal="center"/>
    </xf>
    <xf numFmtId="0" fontId="26" fillId="0" borderId="0" xfId="1" applyFont="1" applyAlignment="1"/>
    <xf numFmtId="0" fontId="8" fillId="0" borderId="13" xfId="1" applyFont="1" applyFill="1" applyBorder="1" applyAlignment="1">
      <alignment horizontal="center"/>
    </xf>
    <xf numFmtId="164" fontId="26" fillId="0" borderId="27" xfId="4" applyNumberFormat="1" applyFont="1" applyFill="1" applyBorder="1" applyAlignment="1">
      <alignment horizontal="center"/>
    </xf>
    <xf numFmtId="164" fontId="26" fillId="0" borderId="8" xfId="4" applyNumberFormat="1" applyFont="1" applyFill="1" applyBorder="1" applyAlignment="1">
      <alignment horizontal="center"/>
    </xf>
    <xf numFmtId="164" fontId="26" fillId="0" borderId="7" xfId="4" applyNumberFormat="1" applyFont="1" applyFill="1" applyBorder="1" applyAlignment="1">
      <alignment horizontal="center"/>
    </xf>
    <xf numFmtId="0" fontId="0" fillId="0" borderId="4" xfId="0" applyBorder="1" applyAlignment="1"/>
    <xf numFmtId="0" fontId="23" fillId="0" borderId="13" xfId="1" applyFont="1" applyBorder="1" applyAlignment="1">
      <alignment horizontal="center"/>
    </xf>
    <xf numFmtId="174" fontId="38" fillId="8" borderId="1" xfId="0" applyNumberFormat="1" applyFont="1" applyFill="1" applyBorder="1" applyAlignment="1">
      <alignment horizontal="center" vertical="center" wrapText="1"/>
    </xf>
    <xf numFmtId="174" fontId="38" fillId="8" borderId="3" xfId="0" applyNumberFormat="1"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3" xfId="0" applyFont="1" applyBorder="1" applyAlignment="1">
      <alignment horizontal="center" vertical="center" wrapText="1"/>
    </xf>
    <xf numFmtId="174" fontId="26" fillId="0" borderId="1" xfId="0" applyNumberFormat="1" applyFont="1" applyBorder="1" applyAlignment="1">
      <alignment horizontal="center" vertical="center" wrapText="1"/>
    </xf>
    <xf numFmtId="174" fontId="26" fillId="0" borderId="2" xfId="0" applyNumberFormat="1" applyFont="1" applyBorder="1" applyAlignment="1">
      <alignment horizontal="center" vertical="center" wrapText="1"/>
    </xf>
    <xf numFmtId="174" fontId="26" fillId="0" borderId="3" xfId="0" applyNumberFormat="1" applyFont="1" applyBorder="1" applyAlignment="1">
      <alignment horizontal="center" vertical="center" wrapText="1"/>
    </xf>
    <xf numFmtId="172" fontId="25" fillId="0" borderId="7" xfId="0" applyNumberFormat="1" applyFont="1" applyFill="1" applyBorder="1" applyAlignment="1">
      <alignment horizontal="center" vertical="center" wrapText="1"/>
    </xf>
    <xf numFmtId="172" fontId="25" fillId="0" borderId="4" xfId="0" applyNumberFormat="1" applyFont="1" applyFill="1" applyBorder="1" applyAlignment="1">
      <alignment horizontal="center" vertical="center" wrapText="1"/>
    </xf>
    <xf numFmtId="172" fontId="25" fillId="0" borderId="27" xfId="0" applyNumberFormat="1" applyFont="1" applyFill="1" applyBorder="1" applyAlignment="1">
      <alignment horizontal="center" vertical="center" wrapText="1"/>
    </xf>
    <xf numFmtId="172" fontId="25" fillId="0" borderId="7" xfId="6" applyNumberFormat="1" applyFont="1" applyFill="1" applyBorder="1" applyAlignment="1">
      <alignment horizontal="left" vertical="center" wrapText="1"/>
    </xf>
    <xf numFmtId="172" fontId="25" fillId="0" borderId="27" xfId="6" applyNumberFormat="1" applyFont="1" applyFill="1" applyBorder="1" applyAlignment="1">
      <alignment horizontal="left" vertical="center" wrapText="1"/>
    </xf>
    <xf numFmtId="172" fontId="26" fillId="0" borderId="7" xfId="0" applyNumberFormat="1" applyFont="1" applyFill="1" applyBorder="1" applyAlignment="1">
      <alignment horizontal="left" vertical="center" wrapText="1"/>
    </xf>
    <xf numFmtId="172" fontId="26" fillId="0" borderId="27" xfId="0" applyNumberFormat="1" applyFont="1" applyFill="1" applyBorder="1" applyAlignment="1">
      <alignment horizontal="left" vertical="center" wrapText="1"/>
    </xf>
    <xf numFmtId="0" fontId="25" fillId="0" borderId="1" xfId="0" applyFont="1" applyFill="1" applyBorder="1" applyAlignment="1">
      <alignment horizontal="center"/>
    </xf>
    <xf numFmtId="0" fontId="25" fillId="0" borderId="3" xfId="0" applyFont="1" applyFill="1" applyBorder="1" applyAlignment="1">
      <alignment horizontal="center"/>
    </xf>
    <xf numFmtId="174" fontId="26" fillId="0" borderId="7" xfId="0" applyNumberFormat="1" applyFont="1" applyBorder="1" applyAlignment="1">
      <alignment horizontal="center" vertical="center" wrapText="1"/>
    </xf>
    <xf numFmtId="174" fontId="26" fillId="0" borderId="27" xfId="0" applyNumberFormat="1" applyFont="1" applyBorder="1" applyAlignment="1">
      <alignment horizontal="center" vertical="center" wrapText="1"/>
    </xf>
    <xf numFmtId="0" fontId="37" fillId="8" borderId="15" xfId="0" applyFont="1" applyFill="1" applyBorder="1" applyAlignment="1">
      <alignment horizontal="center" vertical="center" wrapText="1"/>
    </xf>
    <xf numFmtId="0" fontId="37" fillId="8" borderId="23" xfId="0" applyFont="1" applyFill="1" applyBorder="1" applyAlignment="1">
      <alignment horizontal="center" vertical="center" wrapText="1"/>
    </xf>
    <xf numFmtId="0" fontId="37" fillId="8" borderId="18" xfId="0" applyFont="1" applyFill="1" applyBorder="1" applyAlignment="1">
      <alignment horizontal="center" vertical="center" wrapText="1"/>
    </xf>
    <xf numFmtId="0" fontId="37" fillId="8" borderId="29" xfId="0" applyFont="1" applyFill="1" applyBorder="1" applyAlignment="1">
      <alignment horizontal="center" vertical="center" wrapText="1"/>
    </xf>
    <xf numFmtId="0" fontId="37" fillId="8" borderId="1" xfId="0" applyFont="1" applyFill="1" applyBorder="1" applyAlignment="1">
      <alignment horizontal="center" vertical="center" wrapText="1"/>
    </xf>
    <xf numFmtId="0" fontId="37" fillId="8" borderId="3" xfId="0" applyFont="1" applyFill="1" applyBorder="1" applyAlignment="1">
      <alignment horizontal="center" vertical="center" wrapText="1"/>
    </xf>
    <xf numFmtId="49" fontId="37" fillId="8" borderId="1" xfId="0" applyNumberFormat="1" applyFont="1" applyFill="1" applyBorder="1" applyAlignment="1">
      <alignment horizontal="center" vertical="center" wrapText="1"/>
    </xf>
    <xf numFmtId="49" fontId="37" fillId="8" borderId="3" xfId="0" applyNumberFormat="1" applyFont="1" applyFill="1" applyBorder="1" applyAlignment="1">
      <alignment horizontal="center" vertical="center" wrapText="1"/>
    </xf>
    <xf numFmtId="0" fontId="26" fillId="9" borderId="7" xfId="1" applyFont="1" applyFill="1" applyBorder="1" applyAlignment="1">
      <alignment horizontal="left" vertical="center" wrapText="1"/>
    </xf>
    <xf numFmtId="0" fontId="26" fillId="9" borderId="4" xfId="1" applyFont="1" applyFill="1" applyBorder="1" applyAlignment="1">
      <alignment horizontal="left" vertical="center" wrapText="1"/>
    </xf>
    <xf numFmtId="0" fontId="26" fillId="9" borderId="27" xfId="1" applyFont="1" applyFill="1" applyBorder="1" applyAlignment="1">
      <alignment horizontal="left" vertical="center" wrapText="1"/>
    </xf>
    <xf numFmtId="174" fontId="26" fillId="0" borderId="1" xfId="0" applyNumberFormat="1" applyFont="1" applyFill="1" applyBorder="1" applyAlignment="1">
      <alignment horizontal="center" vertical="center" wrapText="1"/>
    </xf>
    <xf numFmtId="174" fontId="26" fillId="0" borderId="2" xfId="0" applyNumberFormat="1" applyFont="1" applyFill="1" applyBorder="1" applyAlignment="1">
      <alignment horizontal="center" vertical="center" wrapText="1"/>
    </xf>
    <xf numFmtId="174" fontId="26" fillId="0" borderId="3" xfId="0" applyNumberFormat="1" applyFont="1" applyFill="1" applyBorder="1" applyAlignment="1">
      <alignment horizontal="center" vertical="center" wrapText="1"/>
    </xf>
    <xf numFmtId="174" fontId="25" fillId="0" borderId="1" xfId="0" applyNumberFormat="1" applyFont="1" applyFill="1" applyBorder="1" applyAlignment="1">
      <alignment horizontal="center" vertical="center" wrapText="1"/>
    </xf>
    <xf numFmtId="174" fontId="25" fillId="0" borderId="2" xfId="0" applyNumberFormat="1" applyFont="1" applyFill="1" applyBorder="1" applyAlignment="1">
      <alignment horizontal="center" vertical="center" wrapText="1"/>
    </xf>
    <xf numFmtId="174" fontId="25" fillId="0" borderId="3" xfId="0" applyNumberFormat="1" applyFont="1" applyFill="1" applyBorder="1" applyAlignment="1">
      <alignment horizontal="center" vertical="center" wrapText="1"/>
    </xf>
    <xf numFmtId="176" fontId="25" fillId="0" borderId="1" xfId="0" applyNumberFormat="1" applyFont="1" applyFill="1" applyBorder="1" applyAlignment="1">
      <alignment horizontal="center" vertical="center" wrapText="1"/>
    </xf>
    <xf numFmtId="176" fontId="25" fillId="0" borderId="2" xfId="0" applyNumberFormat="1" applyFont="1" applyFill="1" applyBorder="1" applyAlignment="1">
      <alignment horizontal="center" vertical="center" wrapText="1"/>
    </xf>
    <xf numFmtId="176" fontId="25" fillId="0" borderId="3" xfId="0" applyNumberFormat="1" applyFont="1" applyFill="1" applyBorder="1" applyAlignment="1">
      <alignment horizontal="center" vertical="center" wrapText="1"/>
    </xf>
    <xf numFmtId="0" fontId="25" fillId="0" borderId="8" xfId="0" applyFont="1" applyBorder="1" applyAlignment="1">
      <alignment horizontal="center" vertical="center"/>
    </xf>
    <xf numFmtId="174" fontId="26" fillId="0" borderId="8" xfId="0" applyNumberFormat="1" applyFont="1" applyBorder="1" applyAlignment="1">
      <alignment horizontal="center" vertical="center" wrapText="1"/>
    </xf>
    <xf numFmtId="0" fontId="26" fillId="0" borderId="7" xfId="0" applyFont="1" applyBorder="1" applyAlignment="1">
      <alignment horizontal="center" vertical="top" wrapText="1"/>
    </xf>
    <xf numFmtId="0" fontId="26" fillId="0" borderId="4" xfId="0" applyFont="1" applyBorder="1" applyAlignment="1">
      <alignment horizontal="center" vertical="top" wrapText="1"/>
    </xf>
    <xf numFmtId="0" fontId="26" fillId="0" borderId="27" xfId="0" applyFont="1" applyBorder="1" applyAlignment="1">
      <alignment horizontal="center" vertical="top" wrapText="1"/>
    </xf>
    <xf numFmtId="0" fontId="38" fillId="8" borderId="1" xfId="0" applyFont="1" applyFill="1" applyBorder="1" applyAlignment="1">
      <alignment horizontal="center" vertical="top" wrapText="1"/>
    </xf>
    <xf numFmtId="0" fontId="38" fillId="8" borderId="3" xfId="0" applyFont="1" applyFill="1" applyBorder="1" applyAlignment="1">
      <alignment horizontal="center" vertical="top" wrapText="1"/>
    </xf>
    <xf numFmtId="174" fontId="38" fillId="8" borderId="1" xfId="0" applyNumberFormat="1" applyFont="1" applyFill="1" applyBorder="1" applyAlignment="1">
      <alignment horizontal="center" vertical="top" wrapText="1"/>
    </xf>
    <xf numFmtId="174" fontId="38" fillId="8" borderId="3" xfId="0" applyNumberFormat="1" applyFont="1" applyFill="1" applyBorder="1" applyAlignment="1">
      <alignment horizontal="center" vertical="top" wrapText="1"/>
    </xf>
    <xf numFmtId="0" fontId="23" fillId="0" borderId="0" xfId="1" applyFont="1" applyAlignment="1">
      <alignment horizontal="left"/>
    </xf>
    <xf numFmtId="0" fontId="25" fillId="0" borderId="0" xfId="0" applyNumberFormat="1" applyFont="1" applyFill="1" applyAlignment="1">
      <alignment horizontal="left" wrapText="1"/>
    </xf>
    <xf numFmtId="0" fontId="26" fillId="0" borderId="0" xfId="0" quotePrefix="1" applyFont="1" applyAlignment="1">
      <alignment horizontal="center" vertical="center"/>
    </xf>
    <xf numFmtId="0" fontId="37" fillId="8" borderId="8" xfId="0" applyFont="1" applyFill="1" applyBorder="1" applyAlignment="1">
      <alignment horizontal="center" vertical="center" wrapText="1"/>
    </xf>
    <xf numFmtId="0" fontId="37" fillId="8" borderId="8" xfId="0" applyFont="1" applyFill="1" applyBorder="1" applyAlignment="1">
      <alignment horizontal="center" vertical="top" wrapText="1"/>
    </xf>
    <xf numFmtId="0" fontId="26" fillId="0" borderId="0" xfId="0" applyFont="1" applyAlignment="1">
      <alignment horizontal="center" wrapText="1"/>
    </xf>
    <xf numFmtId="174" fontId="26" fillId="0" borderId="1" xfId="0" applyNumberFormat="1" applyFont="1" applyBorder="1" applyAlignment="1">
      <alignment horizontal="center" vertical="top" wrapText="1"/>
    </xf>
    <xf numFmtId="174" fontId="26" fillId="0" borderId="2" xfId="0" applyNumberFormat="1" applyFont="1" applyBorder="1" applyAlignment="1">
      <alignment horizontal="center" vertical="top" wrapText="1"/>
    </xf>
    <xf numFmtId="174" fontId="26" fillId="0" borderId="3" xfId="0" applyNumberFormat="1" applyFont="1" applyBorder="1" applyAlignment="1">
      <alignment horizontal="center" vertical="top" wrapText="1"/>
    </xf>
    <xf numFmtId="0" fontId="25" fillId="0" borderId="1" xfId="0" applyFont="1" applyBorder="1" applyAlignment="1">
      <alignment horizontal="center" vertical="top" wrapText="1"/>
    </xf>
    <xf numFmtId="0" fontId="25" fillId="0" borderId="2" xfId="0" applyFont="1" applyBorder="1" applyAlignment="1">
      <alignment horizontal="center" vertical="top" wrapText="1"/>
    </xf>
    <xf numFmtId="0" fontId="25" fillId="0" borderId="3" xfId="0" applyFont="1" applyBorder="1" applyAlignment="1">
      <alignment horizontal="center" vertical="top" wrapText="1"/>
    </xf>
    <xf numFmtId="0" fontId="25" fillId="0" borderId="7"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27" xfId="0" applyFont="1" applyBorder="1" applyAlignment="1">
      <alignment horizontal="center" vertical="center" wrapText="1"/>
    </xf>
    <xf numFmtId="172" fontId="25" fillId="0" borderId="7" xfId="6" applyNumberFormat="1" applyFont="1" applyBorder="1" applyAlignment="1">
      <alignment horizontal="center" vertical="center" wrapText="1"/>
    </xf>
    <xf numFmtId="172" fontId="25" fillId="0" borderId="27" xfId="6" applyNumberFormat="1" applyFont="1" applyBorder="1" applyAlignment="1">
      <alignment horizontal="center" vertical="center" wrapText="1"/>
    </xf>
    <xf numFmtId="172" fontId="25" fillId="0" borderId="7" xfId="0" applyNumberFormat="1" applyFont="1" applyBorder="1" applyAlignment="1">
      <alignment horizontal="center" vertical="center" wrapText="1"/>
    </xf>
    <xf numFmtId="172" fontId="25" fillId="0" borderId="4" xfId="0" applyNumberFormat="1" applyFont="1" applyBorder="1" applyAlignment="1">
      <alignment horizontal="center" vertical="center" wrapText="1"/>
    </xf>
    <xf numFmtId="172" fontId="25" fillId="0" borderId="27" xfId="0" applyNumberFormat="1" applyFont="1" applyBorder="1" applyAlignment="1">
      <alignment horizontal="center" vertical="center" wrapText="1"/>
    </xf>
    <xf numFmtId="0" fontId="26" fillId="0" borderId="15" xfId="0" applyFont="1" applyBorder="1" applyAlignment="1">
      <alignment horizontal="center"/>
    </xf>
    <xf numFmtId="0" fontId="26" fillId="0" borderId="22" xfId="0" applyFont="1" applyBorder="1" applyAlignment="1">
      <alignment horizontal="center"/>
    </xf>
    <xf numFmtId="0" fontId="26" fillId="0" borderId="23" xfId="0" applyFont="1" applyBorder="1" applyAlignment="1">
      <alignment horizontal="center"/>
    </xf>
    <xf numFmtId="0" fontId="26" fillId="0" borderId="18" xfId="0" applyFont="1" applyBorder="1" applyAlignment="1">
      <alignment horizontal="center"/>
    </xf>
    <xf numFmtId="0" fontId="26" fillId="0" borderId="13" xfId="0" applyFont="1" applyBorder="1" applyAlignment="1">
      <alignment horizontal="center"/>
    </xf>
    <xf numFmtId="0" fontId="26" fillId="0" borderId="29" xfId="0" applyFont="1" applyBorder="1" applyAlignment="1">
      <alignment horizontal="center"/>
    </xf>
    <xf numFmtId="0" fontId="25" fillId="0" borderId="7" xfId="0" applyFont="1" applyBorder="1" applyAlignment="1">
      <alignment horizontal="center" vertical="top" wrapText="1"/>
    </xf>
    <xf numFmtId="0" fontId="25" fillId="0" borderId="4" xfId="0" applyFont="1" applyBorder="1" applyAlignment="1">
      <alignment horizontal="center" vertical="top" wrapText="1"/>
    </xf>
    <xf numFmtId="0" fontId="25" fillId="0" borderId="27" xfId="0" applyFont="1" applyBorder="1" applyAlignment="1">
      <alignment horizontal="center" vertical="top" wrapText="1"/>
    </xf>
    <xf numFmtId="0" fontId="25" fillId="0" borderId="1" xfId="0" applyFont="1" applyFill="1" applyBorder="1" applyAlignment="1">
      <alignment horizontal="center" vertical="top" wrapText="1"/>
    </xf>
    <xf numFmtId="0" fontId="25" fillId="0" borderId="2" xfId="0" applyFont="1" applyFill="1" applyBorder="1" applyAlignment="1">
      <alignment horizontal="center" vertical="top" wrapText="1"/>
    </xf>
    <xf numFmtId="0" fontId="25" fillId="0" borderId="3" xfId="0" applyFont="1" applyFill="1" applyBorder="1" applyAlignment="1">
      <alignment horizontal="center" vertical="top" wrapText="1"/>
    </xf>
    <xf numFmtId="174" fontId="26" fillId="0" borderId="1" xfId="0" applyNumberFormat="1" applyFont="1" applyFill="1" applyBorder="1" applyAlignment="1">
      <alignment horizontal="center" vertical="top" wrapText="1"/>
    </xf>
    <xf numFmtId="174" fontId="26" fillId="0" borderId="2" xfId="0" applyNumberFormat="1" applyFont="1" applyFill="1" applyBorder="1" applyAlignment="1">
      <alignment horizontal="center" vertical="top" wrapText="1"/>
    </xf>
    <xf numFmtId="174" fontId="26" fillId="0" borderId="3" xfId="0" applyNumberFormat="1" applyFont="1" applyFill="1" applyBorder="1" applyAlignment="1">
      <alignment horizontal="center" vertical="top" wrapText="1"/>
    </xf>
    <xf numFmtId="176" fontId="25" fillId="0" borderId="1" xfId="0" applyNumberFormat="1" applyFont="1" applyBorder="1" applyAlignment="1">
      <alignment horizontal="center" vertical="center" wrapText="1"/>
    </xf>
    <xf numFmtId="176" fontId="25" fillId="0" borderId="2" xfId="0" applyNumberFormat="1" applyFont="1" applyBorder="1" applyAlignment="1">
      <alignment horizontal="center" vertical="center" wrapText="1"/>
    </xf>
    <xf numFmtId="176" fontId="25" fillId="0" borderId="3" xfId="0" applyNumberFormat="1" applyFont="1" applyBorder="1" applyAlignment="1">
      <alignment horizontal="center" vertical="center" wrapText="1"/>
    </xf>
    <xf numFmtId="172" fontId="26" fillId="0" borderId="7" xfId="0" applyNumberFormat="1" applyFont="1" applyBorder="1" applyAlignment="1">
      <alignment horizontal="center" vertical="center" wrapText="1"/>
    </xf>
    <xf numFmtId="172" fontId="26" fillId="0" borderId="27" xfId="0" applyNumberFormat="1" applyFont="1" applyBorder="1" applyAlignment="1">
      <alignment horizontal="center" vertical="center" wrapText="1"/>
    </xf>
    <xf numFmtId="174" fontId="25" fillId="0" borderId="8" xfId="0" applyNumberFormat="1" applyFont="1" applyFill="1" applyBorder="1" applyAlignment="1">
      <alignment horizontal="center" vertical="center" wrapText="1"/>
    </xf>
    <xf numFmtId="174" fontId="25" fillId="0" borderId="8" xfId="0" applyNumberFormat="1" applyFont="1" applyBorder="1" applyAlignment="1">
      <alignment horizontal="center" vertical="center" wrapText="1"/>
    </xf>
    <xf numFmtId="174" fontId="26" fillId="0" borderId="4" xfId="0" applyNumberFormat="1" applyFont="1" applyBorder="1" applyAlignment="1">
      <alignment horizontal="center" vertical="center" wrapText="1"/>
    </xf>
    <xf numFmtId="0" fontId="38" fillId="8" borderId="1" xfId="0" applyFont="1" applyFill="1" applyBorder="1" applyAlignment="1">
      <alignment horizontal="center" vertical="center" wrapText="1"/>
    </xf>
    <xf numFmtId="0" fontId="38" fillId="8" borderId="3" xfId="0" applyFont="1" applyFill="1" applyBorder="1" applyAlignment="1">
      <alignment horizontal="center" vertical="center" wrapText="1"/>
    </xf>
  </cellXfs>
  <cellStyles count="100">
    <cellStyle name="_x0013_" xfId="25" xr:uid="{00000000-0005-0000-0000-000000000000}"/>
    <cellStyle name="$/kW" xfId="10" xr:uid="{00000000-0005-0000-0000-000001000000}"/>
    <cellStyle name="$/kW 2" xfId="53" xr:uid="{00000000-0005-0000-0000-000002000000}"/>
    <cellStyle name="$/kWh" xfId="11" xr:uid="{00000000-0005-0000-0000-000003000000}"/>
    <cellStyle name="$/kWh 2" xfId="54" xr:uid="{00000000-0005-0000-0000-000004000000}"/>
    <cellStyle name="$/kW-yr" xfId="12" xr:uid="{00000000-0005-0000-0000-000005000000}"/>
    <cellStyle name="$/kW-yr 2" xfId="55" xr:uid="{00000000-0005-0000-0000-000006000000}"/>
    <cellStyle name="$/MWh" xfId="13" xr:uid="{00000000-0005-0000-0000-000007000000}"/>
    <cellStyle name="$/MWh 2" xfId="56" xr:uid="{00000000-0005-0000-0000-000008000000}"/>
    <cellStyle name="$M" xfId="14" xr:uid="{00000000-0005-0000-0000-000009000000}"/>
    <cellStyle name="$M 2" xfId="57" xr:uid="{00000000-0005-0000-0000-00000A000000}"/>
    <cellStyle name="cents" xfId="15" xr:uid="{00000000-0005-0000-0000-00000B000000}"/>
    <cellStyle name="cents 2" xfId="58" xr:uid="{00000000-0005-0000-0000-00000C000000}"/>
    <cellStyle name="Comma" xfId="24" builtinId="3"/>
    <cellStyle name="Comma [0] 2" xfId="26" xr:uid="{00000000-0005-0000-0000-00000E000000}"/>
    <cellStyle name="Comma 10" xfId="92" xr:uid="{65167D6A-3E14-4C5C-A646-BD62CA6E9BD6}"/>
    <cellStyle name="Comma 11" xfId="95" xr:uid="{904F68F4-1F1A-44C4-B4D0-71AD2D3373F3}"/>
    <cellStyle name="Comma 12" xfId="99" xr:uid="{C7AAA6B8-94B9-4677-A86B-11647FD41A34}"/>
    <cellStyle name="Comma 13" xfId="97" xr:uid="{9BE1BF0D-9B86-4C7E-8866-2090833392F4}"/>
    <cellStyle name="Comma 14" xfId="98" xr:uid="{6D056FE3-C031-40C1-999D-A77B5AC32C73}"/>
    <cellStyle name="Comma 15" xfId="94" xr:uid="{A0ADD332-C436-4961-AB1B-65ADC55D4CB4}"/>
    <cellStyle name="Comma 16" xfId="91" xr:uid="{3C2A3B0D-E1AF-40E0-93BE-6193813B25DC}"/>
    <cellStyle name="Comma 17" xfId="93" xr:uid="{EC4E3A1F-A575-4CB9-9B4E-BABA4E836C56}"/>
    <cellStyle name="Comma 18" xfId="96" xr:uid="{31437B09-D243-4C28-ABF5-8D653F92C0D3}"/>
    <cellStyle name="Comma 2" xfId="6" xr:uid="{00000000-0005-0000-0000-00000F000000}"/>
    <cellStyle name="Comma 2 2" xfId="16" xr:uid="{00000000-0005-0000-0000-000010000000}"/>
    <cellStyle name="Comma 2 3" xfId="59" xr:uid="{00000000-0005-0000-0000-000011000000}"/>
    <cellStyle name="Comma 3" xfId="9" xr:uid="{00000000-0005-0000-0000-000012000000}"/>
    <cellStyle name="Comma 3 2" xfId="76" xr:uid="{C4B6E910-CB37-4B55-9925-4025C3EBEE57}"/>
    <cellStyle name="Comma 4" xfId="27" xr:uid="{00000000-0005-0000-0000-000013000000}"/>
    <cellStyle name="Comma 4 2" xfId="79" xr:uid="{B3E1D581-A9A7-40C0-8472-7EF242F915A6}"/>
    <cellStyle name="Comma 5" xfId="60" xr:uid="{00000000-0005-0000-0000-000014000000}"/>
    <cellStyle name="Comma 6" xfId="61" xr:uid="{00000000-0005-0000-0000-000015000000}"/>
    <cellStyle name="Comma 7" xfId="62" xr:uid="{00000000-0005-0000-0000-000016000000}"/>
    <cellStyle name="Comma 8" xfId="63" xr:uid="{00000000-0005-0000-0000-000017000000}"/>
    <cellStyle name="Comma 9" xfId="78" xr:uid="{C4262CB6-10DB-4C94-9036-7917DC379527}"/>
    <cellStyle name="Currency" xfId="22" builtinId="4"/>
    <cellStyle name="Currency 2" xfId="4" xr:uid="{00000000-0005-0000-0000-000019000000}"/>
    <cellStyle name="Currency 2 2" xfId="17" xr:uid="{00000000-0005-0000-0000-00001A000000}"/>
    <cellStyle name="Currency 2 2 2" xfId="73" xr:uid="{00000000-0005-0000-0000-00001B000000}"/>
    <cellStyle name="Currency 2 3" xfId="28" xr:uid="{00000000-0005-0000-0000-00001C000000}"/>
    <cellStyle name="Currency 3" xfId="7" xr:uid="{00000000-0005-0000-0000-00001D000000}"/>
    <cellStyle name="Currency 3 2" xfId="29" xr:uid="{00000000-0005-0000-0000-00001E000000}"/>
    <cellStyle name="Currency 3 3" xfId="74" xr:uid="{14323ADC-0E7D-4B61-9514-EE5895EFAB72}"/>
    <cellStyle name="Currency 4" xfId="30" xr:uid="{00000000-0005-0000-0000-00001F000000}"/>
    <cellStyle name="Currency 4 2" xfId="80" xr:uid="{734C36B0-855F-4134-A81A-7B8089B9B101}"/>
    <cellStyle name="Hyperlink 2" xfId="18" xr:uid="{00000000-0005-0000-0000-000020000000}"/>
    <cellStyle name="Hyperlink 3" xfId="31" xr:uid="{00000000-0005-0000-0000-000021000000}"/>
    <cellStyle name="Normal" xfId="0" builtinId="0"/>
    <cellStyle name="Normal 2" xfId="1" xr:uid="{00000000-0005-0000-0000-000023000000}"/>
    <cellStyle name="Normal 2 2" xfId="32" xr:uid="{00000000-0005-0000-0000-000024000000}"/>
    <cellStyle name="Normal 2 3" xfId="33" xr:uid="{00000000-0005-0000-0000-000025000000}"/>
    <cellStyle name="Normal 2 3 2" xfId="81" xr:uid="{5C3A0B67-9D43-4655-B2F7-3A67F9A53097}"/>
    <cellStyle name="Normal 2 4" xfId="64" xr:uid="{00000000-0005-0000-0000-000026000000}"/>
    <cellStyle name="Normal 3" xfId="2" xr:uid="{00000000-0005-0000-0000-000027000000}"/>
    <cellStyle name="Normal 3 2" xfId="34" xr:uid="{00000000-0005-0000-0000-000028000000}"/>
    <cellStyle name="Normal 3 3" xfId="35" xr:uid="{00000000-0005-0000-0000-000029000000}"/>
    <cellStyle name="Normal 3 3 2" xfId="82" xr:uid="{B91C5940-C70D-4CAA-86A0-DC2CB7B5E4CA}"/>
    <cellStyle name="Normal 4" xfId="8" xr:uid="{00000000-0005-0000-0000-00002A000000}"/>
    <cellStyle name="Normal 4 2" xfId="75" xr:uid="{F05C8B2C-ED25-4D28-ABC1-B4AF11720D40}"/>
    <cellStyle name="Normal 5" xfId="36" xr:uid="{00000000-0005-0000-0000-00002B000000}"/>
    <cellStyle name="Normal 5 2" xfId="37" xr:uid="{00000000-0005-0000-0000-00002C000000}"/>
    <cellStyle name="Normal 6" xfId="38" xr:uid="{00000000-0005-0000-0000-00002D000000}"/>
    <cellStyle name="Normal 6 2" xfId="83" xr:uid="{91496064-DB0A-4986-B542-12194AB44FDF}"/>
    <cellStyle name="Normal 7" xfId="65" xr:uid="{00000000-0005-0000-0000-00002E000000}"/>
    <cellStyle name="Normal 8" xfId="72" xr:uid="{00000000-0005-0000-0000-00002F000000}"/>
    <cellStyle name="Normal 8 2" xfId="90" xr:uid="{8D18A6DB-A363-4AE8-B41B-96F5365828C9}"/>
    <cellStyle name="Note 2" xfId="19" xr:uid="{00000000-0005-0000-0000-000030000000}"/>
    <cellStyle name="Note 2 2" xfId="39" xr:uid="{00000000-0005-0000-0000-000031000000}"/>
    <cellStyle name="Note 2 2 2" xfId="66" xr:uid="{00000000-0005-0000-0000-000032000000}"/>
    <cellStyle name="Note 2 2 2 2" xfId="85" xr:uid="{05A279DF-5B18-41BF-BFE3-91F93732E37A}"/>
    <cellStyle name="Note 2 2 3" xfId="67" xr:uid="{00000000-0005-0000-0000-000033000000}"/>
    <cellStyle name="Note 2 2 3 2" xfId="86" xr:uid="{4A14354E-B812-41B8-A61C-A310C37803C8}"/>
    <cellStyle name="Note 2 2 4" xfId="84" xr:uid="{D501962C-38FC-41FD-B041-B84B7DDDBE54}"/>
    <cellStyle name="Note 2 3" xfId="68" xr:uid="{00000000-0005-0000-0000-000034000000}"/>
    <cellStyle name="Note 2 3 2" xfId="87" xr:uid="{BAA52F7D-C352-4B96-8913-151D32A8531D}"/>
    <cellStyle name="Note 2 4" xfId="69" xr:uid="{00000000-0005-0000-0000-000035000000}"/>
    <cellStyle name="Note 2 4 2" xfId="88" xr:uid="{7FE2D4C9-1012-48D9-A71D-B4B8BD88D04F}"/>
    <cellStyle name="Note 2 5" xfId="70" xr:uid="{00000000-0005-0000-0000-000036000000}"/>
    <cellStyle name="Note 2 5 2" xfId="89" xr:uid="{163270BA-8A0D-4C1D-85DD-11FA19097566}"/>
    <cellStyle name="Note 2 6" xfId="77" xr:uid="{15AF744A-FD0C-4FFC-BEEB-7DC57AB71358}"/>
    <cellStyle name="Percent" xfId="23" builtinId="5"/>
    <cellStyle name="Percent 2" xfId="5" xr:uid="{00000000-0005-0000-0000-000038000000}"/>
    <cellStyle name="Percent 2 2" xfId="40" xr:uid="{00000000-0005-0000-0000-000039000000}"/>
    <cellStyle name="Percent 2 3" xfId="41" xr:uid="{00000000-0005-0000-0000-00003A000000}"/>
    <cellStyle name="Percent 3" xfId="20" xr:uid="{00000000-0005-0000-0000-00003B000000}"/>
    <cellStyle name="Percent 3 2" xfId="71" xr:uid="{00000000-0005-0000-0000-00003C000000}"/>
    <cellStyle name="Percent 4" xfId="42" xr:uid="{00000000-0005-0000-0000-00003D000000}"/>
    <cellStyle name="Percent 4 2" xfId="43" xr:uid="{00000000-0005-0000-0000-00003E000000}"/>
    <cellStyle name="Percent 4 3" xfId="44" xr:uid="{00000000-0005-0000-0000-00003F000000}"/>
    <cellStyle name="PSChar" xfId="3" xr:uid="{00000000-0005-0000-0000-000040000000}"/>
    <cellStyle name="SEM-BPS-input-on" xfId="21" xr:uid="{00000000-0005-0000-0000-000041000000}"/>
    <cellStyle name="Style 29" xfId="45" xr:uid="{00000000-0005-0000-0000-000042000000}"/>
    <cellStyle name="Style 29 2" xfId="46" xr:uid="{00000000-0005-0000-0000-000043000000}"/>
    <cellStyle name="Style 35" xfId="47" xr:uid="{00000000-0005-0000-0000-000044000000}"/>
    <cellStyle name="Style 36" xfId="48" xr:uid="{00000000-0005-0000-0000-000045000000}"/>
    <cellStyle name="Table" xfId="49" xr:uid="{00000000-0005-0000-0000-000046000000}"/>
    <cellStyle name="桁区切り [0.00]_NG price &amp; consumption-2007-06-01" xfId="50" xr:uid="{00000000-0005-0000-0000-000047000000}"/>
    <cellStyle name="桁区切り_NG price &amp; consumption-2007-06-01" xfId="51" xr:uid="{00000000-0005-0000-0000-000048000000}"/>
    <cellStyle name="標準_NG price &amp; consumption-2007-06-01" xfId="52" xr:uid="{00000000-0005-0000-0000-000049000000}"/>
  </cellStyles>
  <dxfs count="0"/>
  <tableStyles count="0" defaultTableStyle="TableStyleMedium2" defaultPivotStyle="PivotStyleLight16"/>
  <colors>
    <mruColors>
      <color rgb="FFFF66FF"/>
      <color rgb="FFFFFF99"/>
      <color rgb="FFCCFF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4.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7.xml"/><Relationship Id="rId47" Type="http://schemas.openxmlformats.org/officeDocument/2006/relationships/externalLink" Target="externalLinks/externalLink12.xml"/><Relationship Id="rId50" Type="http://schemas.openxmlformats.org/officeDocument/2006/relationships/externalLink" Target="externalLinks/externalLink15.xml"/><Relationship Id="rId55"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3.xml"/><Relationship Id="rId46" Type="http://schemas.openxmlformats.org/officeDocument/2006/relationships/externalLink" Target="externalLinks/externalLink1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externalLink" Target="externalLinks/externalLink6.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2.xml"/><Relationship Id="rId40" Type="http://schemas.openxmlformats.org/officeDocument/2006/relationships/externalLink" Target="externalLinks/externalLink5.xml"/><Relationship Id="rId45" Type="http://schemas.openxmlformats.org/officeDocument/2006/relationships/externalLink" Target="externalLinks/externalLink10.xml"/><Relationship Id="rId53" Type="http://schemas.openxmlformats.org/officeDocument/2006/relationships/externalLink" Target="externalLinks/externalLink1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1.xml"/><Relationship Id="rId49" Type="http://schemas.openxmlformats.org/officeDocument/2006/relationships/externalLink" Target="externalLinks/externalLink14.xml"/><Relationship Id="rId57"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9.xml"/><Relationship Id="rId52" Type="http://schemas.openxmlformats.org/officeDocument/2006/relationships/externalLink" Target="externalLinks/externalLink1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8.xml"/><Relationship Id="rId48" Type="http://schemas.openxmlformats.org/officeDocument/2006/relationships/externalLink" Target="externalLinks/externalLink13.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externalLink" Target="externalLinks/externalLink16.xml"/><Relationship Id="rId3"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Budget by Customer Class </a:t>
            </a:r>
          </a:p>
        </c:rich>
      </c:tx>
      <c:layout>
        <c:manualLayout>
          <c:xMode val="edge"/>
          <c:yMode val="edge"/>
          <c:x val="0.2437536860858141"/>
          <c:y val="2.2576352959057695E-2"/>
        </c:manualLayout>
      </c:layout>
      <c:overlay val="0"/>
    </c:title>
    <c:autoTitleDeleted val="0"/>
    <c:plotArea>
      <c:layout/>
      <c:pieChart>
        <c:varyColors val="1"/>
        <c:ser>
          <c:idx val="0"/>
          <c:order val="0"/>
          <c:dLbls>
            <c:dLbl>
              <c:idx val="0"/>
              <c:layout>
                <c:manualLayout>
                  <c:x val="0.10165323060363142"/>
                  <c:y val="6.3284617381071176E-2"/>
                </c:manualLayout>
              </c:layout>
              <c:tx>
                <c:rich>
                  <a:bodyPr wrap="square" lIns="38100" tIns="19050" rIns="38100" bIns="19050" anchor="ctr">
                    <a:spAutoFit/>
                  </a:bodyPr>
                  <a:lstStyle/>
                  <a:p>
                    <a:pPr>
                      <a:defRPr sz="1200" b="0" i="0" baseline="0">
                        <a:latin typeface="Arial" panose="020B0604020202020204" pitchFamily="34" charset="0"/>
                        <a:cs typeface="Arial" panose="020B0604020202020204" pitchFamily="34" charset="0"/>
                      </a:defRPr>
                    </a:pPr>
                    <a:r>
                      <a:rPr lang="en-US" sz="1200" b="0" i="0" baseline="0"/>
                      <a:t>Res. Income- Eligible</a:t>
                    </a:r>
                  </a:p>
                  <a:p>
                    <a:pPr>
                      <a:defRPr sz="1200" b="0" i="0" baseline="0">
                        <a:latin typeface="Arial" panose="020B0604020202020204" pitchFamily="34" charset="0"/>
                        <a:cs typeface="Arial" panose="020B0604020202020204" pitchFamily="34" charset="0"/>
                      </a:defRPr>
                    </a:pPr>
                    <a:r>
                      <a:rPr lang="en-US" sz="1200" b="0" i="0" baseline="0"/>
                      <a:t> 22.71%</a:t>
                    </a:r>
                  </a:p>
                </c:rich>
              </c:tx>
              <c:numFmt formatCode="0.00%" sourceLinked="0"/>
              <c:spPr>
                <a:noFill/>
                <a:ln>
                  <a:noFill/>
                </a:ln>
                <a:effectLst/>
              </c:spPr>
              <c:dLblPos val="bestFit"/>
              <c:showLegendKey val="0"/>
              <c:showVal val="0"/>
              <c:showCatName val="1"/>
              <c:showSerName val="0"/>
              <c:showPercent val="1"/>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00-D14E-4C2C-80D0-B00ED1222541}"/>
                </c:ext>
              </c:extLst>
            </c:dLbl>
            <c:dLbl>
              <c:idx val="1"/>
              <c:layout>
                <c:manualLayout>
                  <c:x val="0.1215218602683673"/>
                  <c:y val="-7.1084402673253652E-2"/>
                </c:manualLayout>
              </c:layout>
              <c:tx>
                <c:rich>
                  <a:bodyPr/>
                  <a:lstStyle/>
                  <a:p>
                    <a:r>
                      <a:rPr lang="en-US"/>
                      <a:t>Res. Non Income- Eligible</a:t>
                    </a:r>
                    <a:r>
                      <a:rPr lang="en-US" baseline="0"/>
                      <a:t> 40.74</a:t>
                    </a:r>
                    <a:r>
                      <a:rPr lang="en-US"/>
                      <a:t>%</a:t>
                    </a:r>
                  </a:p>
                </c:rich>
              </c:tx>
              <c:dLblPos val="bestFit"/>
              <c:showLegendKey val="0"/>
              <c:showVal val="0"/>
              <c:showCatName val="1"/>
              <c:showSerName val="0"/>
              <c:showPercent val="1"/>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01-D14E-4C2C-80D0-B00ED1222541}"/>
                </c:ext>
              </c:extLst>
            </c:dLbl>
            <c:dLbl>
              <c:idx val="2"/>
              <c:layout>
                <c:manualLayout>
                  <c:x val="-4.7619047619047616E-2"/>
                  <c:y val="-0.12192723697148476"/>
                </c:manualLayout>
              </c:layout>
              <c:tx>
                <c:rich>
                  <a:bodyPr/>
                  <a:lstStyle/>
                  <a:p>
                    <a:r>
                      <a:rPr lang="en-US"/>
                      <a:t>Commercial and Industrial 36.55%</a:t>
                    </a:r>
                  </a:p>
                </c:rich>
              </c:tx>
              <c:dLblPos val="bestFit"/>
              <c:showLegendKey val="0"/>
              <c:showVal val="0"/>
              <c:showCatName val="1"/>
              <c:showSerName val="0"/>
              <c:showPercent val="1"/>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02-D14E-4C2C-80D0-B00ED1222541}"/>
                </c:ext>
              </c:extLst>
            </c:dLbl>
            <c:numFmt formatCode="0.00%" sourceLinked="0"/>
            <c:spPr>
              <a:noFill/>
              <a:ln>
                <a:noFill/>
              </a:ln>
              <a:effectLst/>
            </c:spPr>
            <c:txPr>
              <a:bodyPr wrap="square" lIns="38100" tIns="19050" rIns="38100" bIns="19050" anchor="ctr">
                <a:spAutoFit/>
              </a:bodyPr>
              <a:lstStyle/>
              <a:p>
                <a:pPr>
                  <a:defRPr sz="1200" b="0" baseline="0">
                    <a:latin typeface="Arial" panose="020B0604020202020204" pitchFamily="34" charset="0"/>
                    <a:cs typeface="Arial" panose="020B0604020202020204" pitchFamily="34" charset="0"/>
                  </a:defRPr>
                </a:pPr>
                <a:endParaRPr lang="en-US"/>
              </a:p>
            </c:txPr>
            <c:dLblPos val="outEnd"/>
            <c:showLegendKey val="0"/>
            <c:showVal val="0"/>
            <c:showCatName val="1"/>
            <c:showSerName val="0"/>
            <c:showPercent val="1"/>
            <c:showBubbleSize val="0"/>
            <c:separator>, </c:separator>
            <c:showLeaderLines val="1"/>
            <c:extLst>
              <c:ext xmlns:c15="http://schemas.microsoft.com/office/drawing/2012/chart" uri="{CE6537A1-D6FC-4f65-9D91-7224C49458BB}"/>
            </c:extLst>
          </c:dLbls>
          <c:cat>
            <c:strRef>
              <c:f>('2021 Joint Table A1 Pies'!$B$30:$B$31,'2021 Joint Table A1 Pies'!$B$34)</c:f>
              <c:strCache>
                <c:ptCount val="3"/>
                <c:pt idx="0">
                  <c:v>Res. Income-Eligible</c:v>
                </c:pt>
                <c:pt idx="1">
                  <c:v>Res. Non Income-Eligible</c:v>
                </c:pt>
                <c:pt idx="2">
                  <c:v>Commercial and Industrial</c:v>
                </c:pt>
              </c:strCache>
            </c:strRef>
          </c:cat>
          <c:val>
            <c:numRef>
              <c:f>('2021 Joint Table A1 Pies'!$F$30:$F$31,'2021 Joint Table A1 Pies'!$F$34)</c:f>
              <c:numCache>
                <c:formatCode>0.00%</c:formatCode>
                <c:ptCount val="3"/>
                <c:pt idx="0">
                  <c:v>0.24917641253098757</c:v>
                </c:pt>
                <c:pt idx="1">
                  <c:v>0.47482631615226095</c:v>
                </c:pt>
                <c:pt idx="2">
                  <c:v>0.27599727131675145</c:v>
                </c:pt>
              </c:numCache>
            </c:numRef>
          </c:val>
          <c:extLst>
            <c:ext xmlns:c16="http://schemas.microsoft.com/office/drawing/2014/chart" uri="{C3380CC4-5D6E-409C-BE32-E72D297353CC}">
              <c16:uniqueId val="{00000003-D14E-4C2C-80D0-B00ED1222541}"/>
            </c:ext>
          </c:extLst>
        </c:ser>
        <c:dLbls>
          <c:showLegendKey val="0"/>
          <c:showVal val="0"/>
          <c:showCatName val="0"/>
          <c:showSerName val="0"/>
          <c:showPercent val="1"/>
          <c:showBubbleSize val="0"/>
          <c:showLeaderLines val="1"/>
        </c:dLbls>
        <c:firstSliceAng val="0"/>
      </c:pieChart>
    </c:plotArea>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Budget by Customer Class </a:t>
            </a:r>
          </a:p>
        </c:rich>
      </c:tx>
      <c:layout>
        <c:manualLayout>
          <c:xMode val="edge"/>
          <c:yMode val="edge"/>
          <c:x val="0.2437536860858141"/>
          <c:y val="2.2576352959057695E-2"/>
        </c:manualLayout>
      </c:layout>
      <c:overlay val="0"/>
    </c:title>
    <c:autoTitleDeleted val="0"/>
    <c:plotArea>
      <c:layout/>
      <c:pieChart>
        <c:varyColors val="1"/>
        <c:ser>
          <c:idx val="0"/>
          <c:order val="0"/>
          <c:dPt>
            <c:idx val="0"/>
            <c:bubble3D val="0"/>
            <c:explosion val="8"/>
            <c:spPr>
              <a:solidFill>
                <a:schemeClr val="accent1"/>
              </a:solidFill>
            </c:spPr>
            <c:extLst>
              <c:ext xmlns:c16="http://schemas.microsoft.com/office/drawing/2014/chart" uri="{C3380CC4-5D6E-409C-BE32-E72D297353CC}">
                <c16:uniqueId val="{00000001-9366-49A2-A703-871C6A486FB5}"/>
              </c:ext>
            </c:extLst>
          </c:dPt>
          <c:dPt>
            <c:idx val="1"/>
            <c:bubble3D val="0"/>
            <c:explosion val="3"/>
            <c:spPr>
              <a:solidFill>
                <a:schemeClr val="tx2"/>
              </a:solidFill>
            </c:spPr>
            <c:extLst>
              <c:ext xmlns:c16="http://schemas.microsoft.com/office/drawing/2014/chart" uri="{C3380CC4-5D6E-409C-BE32-E72D297353CC}">
                <c16:uniqueId val="{00000003-9366-49A2-A703-871C6A486FB5}"/>
              </c:ext>
            </c:extLst>
          </c:dPt>
          <c:dPt>
            <c:idx val="2"/>
            <c:bubble3D val="0"/>
            <c:explosion val="4"/>
            <c:spPr>
              <a:solidFill>
                <a:schemeClr val="accent6">
                  <a:lumMod val="75000"/>
                </a:schemeClr>
              </a:solidFill>
            </c:spPr>
            <c:extLst>
              <c:ext xmlns:c16="http://schemas.microsoft.com/office/drawing/2014/chart" uri="{C3380CC4-5D6E-409C-BE32-E72D297353CC}">
                <c16:uniqueId val="{00000005-9366-49A2-A703-871C6A486FB5}"/>
              </c:ext>
            </c:extLst>
          </c:dPt>
          <c:dLbls>
            <c:dLbl>
              <c:idx val="0"/>
              <c:layout>
                <c:manualLayout>
                  <c:x val="6.0328361608577248E-2"/>
                  <c:y val="0.1385391084947824"/>
                </c:manualLayout>
              </c:layout>
              <c:tx>
                <c:rich>
                  <a:bodyPr wrap="square" lIns="38100" tIns="19050" rIns="38100" bIns="19050" anchor="ctr">
                    <a:spAutoFit/>
                  </a:bodyPr>
                  <a:lstStyle/>
                  <a:p>
                    <a:pPr>
                      <a:defRPr sz="1200" b="0" i="0" baseline="0">
                        <a:latin typeface="Arial" panose="020B0604020202020204" pitchFamily="34" charset="0"/>
                        <a:cs typeface="Arial" panose="020B0604020202020204" pitchFamily="34" charset="0"/>
                      </a:defRPr>
                    </a:pPr>
                    <a:r>
                      <a:rPr lang="en-US" sz="1200" b="0" i="0" baseline="0"/>
                      <a:t>Res. Income- Eligible</a:t>
                    </a:r>
                  </a:p>
                  <a:p>
                    <a:pPr>
                      <a:defRPr sz="1200" b="0" i="0" baseline="0">
                        <a:latin typeface="Arial" panose="020B0604020202020204" pitchFamily="34" charset="0"/>
                        <a:cs typeface="Arial" panose="020B0604020202020204" pitchFamily="34" charset="0"/>
                      </a:defRPr>
                    </a:pPr>
                    <a:r>
                      <a:rPr lang="en-US" sz="1200" b="0" i="0" baseline="0"/>
                      <a:t> 22.72%</a:t>
                    </a:r>
                  </a:p>
                </c:rich>
              </c:tx>
              <c:numFmt formatCode="0.00%" sourceLinked="0"/>
              <c:spPr>
                <a:noFill/>
                <a:ln>
                  <a:noFill/>
                </a:ln>
                <a:effectLst/>
              </c:spPr>
              <c:dLblPos val="bestFit"/>
              <c:showLegendKey val="0"/>
              <c:showVal val="0"/>
              <c:showCatName val="1"/>
              <c:showSerName val="0"/>
              <c:showPercent val="1"/>
              <c:showBubbleSize val="0"/>
              <c:separator>, </c:separator>
              <c:extLst>
                <c:ext xmlns:c15="http://schemas.microsoft.com/office/drawing/2012/chart" uri="{CE6537A1-D6FC-4f65-9D91-7224C49458BB}">
                  <c15:showDataLabelsRange val="1"/>
                </c:ext>
                <c:ext xmlns:c16="http://schemas.microsoft.com/office/drawing/2014/chart" uri="{C3380CC4-5D6E-409C-BE32-E72D297353CC}">
                  <c16:uniqueId val="{00000001-9366-49A2-A703-871C6A486FB5}"/>
                </c:ext>
              </c:extLst>
            </c:dLbl>
            <c:dLbl>
              <c:idx val="1"/>
              <c:layout>
                <c:manualLayout>
                  <c:x val="0.14993268444664978"/>
                  <c:y val="-0.13505073605725032"/>
                </c:manualLayout>
              </c:layout>
              <c:tx>
                <c:rich>
                  <a:bodyPr/>
                  <a:lstStyle/>
                  <a:p>
                    <a:r>
                      <a:rPr lang="en-US"/>
                      <a:t>Res. Non Income- Eligible</a:t>
                    </a:r>
                    <a:r>
                      <a:rPr lang="en-US" baseline="0"/>
                      <a:t> 40.66</a:t>
                    </a:r>
                    <a:r>
                      <a:rPr lang="en-US"/>
                      <a:t>%</a:t>
                    </a:r>
                  </a:p>
                </c:rich>
              </c:tx>
              <c:dLblPos val="bestFit"/>
              <c:showLegendKey val="0"/>
              <c:showVal val="0"/>
              <c:showCatName val="1"/>
              <c:showSerName val="0"/>
              <c:showPercent val="1"/>
              <c:showBubbleSize val="0"/>
              <c:separator>, </c:separator>
              <c:extLst>
                <c:ext xmlns:c15="http://schemas.microsoft.com/office/drawing/2012/chart" uri="{CE6537A1-D6FC-4f65-9D91-7224C49458BB}">
                  <c15:showDataLabelsRange val="1"/>
                </c:ext>
                <c:ext xmlns:c16="http://schemas.microsoft.com/office/drawing/2014/chart" uri="{C3380CC4-5D6E-409C-BE32-E72D297353CC}">
                  <c16:uniqueId val="{00000003-9366-49A2-A703-871C6A486FB5}"/>
                </c:ext>
              </c:extLst>
            </c:dLbl>
            <c:dLbl>
              <c:idx val="2"/>
              <c:layout>
                <c:manualLayout>
                  <c:x val="-2.1791122481767858E-2"/>
                  <c:y val="-4.6672609995280299E-2"/>
                </c:manualLayout>
              </c:layout>
              <c:tx>
                <c:rich>
                  <a:bodyPr/>
                  <a:lstStyle/>
                  <a:p>
                    <a:r>
                      <a:rPr lang="en-US"/>
                      <a:t>Commercial and Industrial 36.62%</a:t>
                    </a:r>
                  </a:p>
                </c:rich>
              </c:tx>
              <c:dLblPos val="bestFit"/>
              <c:showLegendKey val="0"/>
              <c:showVal val="0"/>
              <c:showCatName val="1"/>
              <c:showSerName val="0"/>
              <c:showPercent val="1"/>
              <c:showBubbleSize val="0"/>
              <c:separator>, </c:separator>
              <c:extLst>
                <c:ext xmlns:c15="http://schemas.microsoft.com/office/drawing/2012/chart" uri="{CE6537A1-D6FC-4f65-9D91-7224C49458BB}">
                  <c15:showDataLabelsRange val="1"/>
                </c:ext>
                <c:ext xmlns:c16="http://schemas.microsoft.com/office/drawing/2014/chart" uri="{C3380CC4-5D6E-409C-BE32-E72D297353CC}">
                  <c16:uniqueId val="{00000005-9366-49A2-A703-871C6A486FB5}"/>
                </c:ext>
              </c:extLst>
            </c:dLbl>
            <c:numFmt formatCode="0.00%" sourceLinked="0"/>
            <c:spPr>
              <a:noFill/>
              <a:ln>
                <a:noFill/>
              </a:ln>
              <a:effectLst/>
            </c:spPr>
            <c:txPr>
              <a:bodyPr wrap="square" lIns="38100" tIns="19050" rIns="38100" bIns="19050" anchor="ctr">
                <a:spAutoFit/>
              </a:bodyPr>
              <a:lstStyle/>
              <a:p>
                <a:pPr>
                  <a:defRPr sz="1200" b="0" baseline="0">
                    <a:latin typeface="Arial" panose="020B0604020202020204" pitchFamily="34" charset="0"/>
                    <a:cs typeface="Arial" panose="020B0604020202020204" pitchFamily="34" charset="0"/>
                  </a:defRPr>
                </a:pPr>
                <a:endParaRPr lang="en-US"/>
              </a:p>
            </c:txPr>
            <c:dLblPos val="outEnd"/>
            <c:showLegendKey val="0"/>
            <c:showVal val="0"/>
            <c:showCatName val="1"/>
            <c:showSerName val="0"/>
            <c:showPercent val="1"/>
            <c:showBubbleSize val="0"/>
            <c:separator>, </c:separator>
            <c:showLeaderLines val="1"/>
            <c:extLst>
              <c:ext xmlns:c15="http://schemas.microsoft.com/office/drawing/2012/chart" uri="{CE6537A1-D6FC-4f65-9D91-7224C49458BB}">
                <c15:showDataLabelsRange val="1"/>
              </c:ext>
            </c:extLst>
          </c:dLbls>
          <c:cat>
            <c:strRef>
              <c:f>('[14]2023 Joint Table A1 Pies - Gas'!$B$30:$B$31,'[14]2023 Joint Table A1 Pies - Gas'!$B$34)</c:f>
              <c:strCache>
                <c:ptCount val="3"/>
                <c:pt idx="0">
                  <c:v>Res. Income-Eligible</c:v>
                </c:pt>
                <c:pt idx="1">
                  <c:v>Res. Non Income-Eligible</c:v>
                </c:pt>
                <c:pt idx="2">
                  <c:v>Commercial and Industrial</c:v>
                </c:pt>
              </c:strCache>
            </c:strRef>
          </c:cat>
          <c:val>
            <c:numRef>
              <c:f>('[14]2023 Joint Table A1 Pies - Gas'!$F$30:$F$31,'[14]2023 Joint Table A1 Pies - Gas'!$F$34)</c:f>
              <c:numCache>
                <c:formatCode>General</c:formatCode>
                <c:ptCount val="3"/>
                <c:pt idx="0">
                  <c:v>0.24020751014651867</c:v>
                </c:pt>
                <c:pt idx="1">
                  <c:v>0.39163546895422524</c:v>
                </c:pt>
                <c:pt idx="2">
                  <c:v>0.36815702089925612</c:v>
                </c:pt>
              </c:numCache>
            </c:numRef>
          </c:val>
          <c:extLst>
            <c:ext xmlns:c15="http://schemas.microsoft.com/office/drawing/2012/chart" uri="{02D57815-91ED-43cb-92C2-25804820EDAC}">
              <c15:datalabelsRange>
                <c15:f>'[14]2023 Joint Table A1 Pies - Gas'!$F$34</c15:f>
                <c15:dlblRangeCache>
                  <c:ptCount val="1"/>
                  <c:pt idx="0">
                    <c:v>0.368157021</c:v>
                  </c:pt>
                </c15:dlblRangeCache>
              </c15:datalabelsRange>
            </c:ext>
            <c:ext xmlns:c16="http://schemas.microsoft.com/office/drawing/2014/chart" uri="{C3380CC4-5D6E-409C-BE32-E72D297353CC}">
              <c16:uniqueId val="{00000006-9366-49A2-A703-871C6A486FB5}"/>
            </c:ext>
          </c:extLst>
        </c:ser>
        <c:dLbls>
          <c:showLegendKey val="0"/>
          <c:showVal val="0"/>
          <c:showCatName val="0"/>
          <c:showSerName val="0"/>
          <c:showPercent val="1"/>
          <c:showBubbleSize val="0"/>
          <c:showLeaderLines val="1"/>
        </c:dLbls>
        <c:firstSliceAng val="0"/>
      </c:pieChart>
    </c:plotArea>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Revenue by Customer Class </a:t>
            </a:r>
          </a:p>
        </c:rich>
      </c:tx>
      <c:layout>
        <c:manualLayout>
          <c:xMode val="edge"/>
          <c:yMode val="edge"/>
          <c:x val="0.2437536860858141"/>
          <c:y val="2.2576352959057695E-2"/>
        </c:manualLayout>
      </c:layout>
      <c:overlay val="0"/>
    </c:title>
    <c:autoTitleDeleted val="0"/>
    <c:plotArea>
      <c:layout/>
      <c:pieChart>
        <c:varyColors val="1"/>
        <c:ser>
          <c:idx val="0"/>
          <c:order val="0"/>
          <c:explosion val="5"/>
          <c:dPt>
            <c:idx val="0"/>
            <c:bubble3D val="0"/>
            <c:spPr>
              <a:solidFill>
                <a:schemeClr val="accent1"/>
              </a:solidFill>
            </c:spPr>
            <c:extLst>
              <c:ext xmlns:c16="http://schemas.microsoft.com/office/drawing/2014/chart" uri="{C3380CC4-5D6E-409C-BE32-E72D297353CC}">
                <c16:uniqueId val="{00000001-4E6D-4C2D-99DF-BA9F76839281}"/>
              </c:ext>
            </c:extLst>
          </c:dPt>
          <c:dPt>
            <c:idx val="1"/>
            <c:bubble3D val="0"/>
            <c:spPr>
              <a:solidFill>
                <a:schemeClr val="tx2"/>
              </a:solidFill>
            </c:spPr>
            <c:extLst>
              <c:ext xmlns:c16="http://schemas.microsoft.com/office/drawing/2014/chart" uri="{C3380CC4-5D6E-409C-BE32-E72D297353CC}">
                <c16:uniqueId val="{00000003-4E6D-4C2D-99DF-BA9F76839281}"/>
              </c:ext>
            </c:extLst>
          </c:dPt>
          <c:dPt>
            <c:idx val="2"/>
            <c:bubble3D val="0"/>
            <c:spPr>
              <a:solidFill>
                <a:schemeClr val="accent6">
                  <a:lumMod val="75000"/>
                </a:schemeClr>
              </a:solidFill>
            </c:spPr>
            <c:extLst>
              <c:ext xmlns:c16="http://schemas.microsoft.com/office/drawing/2014/chart" uri="{C3380CC4-5D6E-409C-BE32-E72D297353CC}">
                <c16:uniqueId val="{00000005-4E6D-4C2D-99DF-BA9F76839281}"/>
              </c:ext>
            </c:extLst>
          </c:dPt>
          <c:dLbls>
            <c:dLbl>
              <c:idx val="0"/>
              <c:layout>
                <c:manualLayout>
                  <c:x val="9.3904790182911105E-2"/>
                  <c:y val="0.11220003004254839"/>
                </c:manualLayout>
              </c:layout>
              <c:tx>
                <c:rich>
                  <a:bodyPr wrap="square" lIns="38100" tIns="19050" rIns="38100" bIns="19050" anchor="ctr">
                    <a:spAutoFit/>
                  </a:bodyPr>
                  <a:lstStyle/>
                  <a:p>
                    <a:pPr>
                      <a:defRPr sz="1200" b="0" i="0" baseline="0">
                        <a:latin typeface="Arial" panose="020B0604020202020204" pitchFamily="34" charset="0"/>
                        <a:cs typeface="Arial" panose="020B0604020202020204" pitchFamily="34" charset="0"/>
                      </a:defRPr>
                    </a:pPr>
                    <a:r>
                      <a:rPr lang="en-US" sz="1200" b="0" i="0" baseline="0"/>
                      <a:t>Res. Income- Eligible</a:t>
                    </a:r>
                  </a:p>
                  <a:p>
                    <a:pPr>
                      <a:defRPr sz="1200" b="0" i="0" baseline="0">
                        <a:latin typeface="Arial" panose="020B0604020202020204" pitchFamily="34" charset="0"/>
                        <a:cs typeface="Arial" panose="020B0604020202020204" pitchFamily="34" charset="0"/>
                      </a:defRPr>
                    </a:pPr>
                    <a:r>
                      <a:rPr lang="en-US" sz="1200" b="0" i="0" baseline="0"/>
                      <a:t> 13.00%</a:t>
                    </a:r>
                  </a:p>
                </c:rich>
              </c:tx>
              <c:numFmt formatCode="0.00%" sourceLinked="0"/>
              <c:spPr>
                <a:noFill/>
                <a:ln>
                  <a:noFill/>
                </a:ln>
                <a:effectLst/>
              </c:spPr>
              <c:dLblPos val="bestFit"/>
              <c:showLegendKey val="0"/>
              <c:showVal val="0"/>
              <c:showCatName val="1"/>
              <c:showSerName val="0"/>
              <c:showPercent val="1"/>
              <c:showBubbleSize val="0"/>
              <c:separator>, </c:separator>
              <c:extLst>
                <c:ext xmlns:c15="http://schemas.microsoft.com/office/drawing/2012/chart" uri="{CE6537A1-D6FC-4f65-9D91-7224C49458BB}">
                  <c15:showDataLabelsRange val="1"/>
                </c:ext>
                <c:ext xmlns:c16="http://schemas.microsoft.com/office/drawing/2014/chart" uri="{C3380CC4-5D6E-409C-BE32-E72D297353CC}">
                  <c16:uniqueId val="{00000001-4E6D-4C2D-99DF-BA9F76839281}"/>
                </c:ext>
              </c:extLst>
            </c:dLbl>
            <c:dLbl>
              <c:idx val="1"/>
              <c:layout>
                <c:manualLayout>
                  <c:x val="1.4412036264983209E-2"/>
                  <c:y val="6.0610989587916379E-2"/>
                </c:manualLayout>
              </c:layout>
              <c:tx>
                <c:rich>
                  <a:bodyPr/>
                  <a:lstStyle/>
                  <a:p>
                    <a:r>
                      <a:rPr lang="en-US"/>
                      <a:t>Res. Non Income- Eligible</a:t>
                    </a:r>
                    <a:r>
                      <a:rPr lang="en-US" baseline="0"/>
                      <a:t> 31.06</a:t>
                    </a:r>
                    <a:r>
                      <a:rPr lang="en-US"/>
                      <a:t>%</a:t>
                    </a:r>
                  </a:p>
                </c:rich>
              </c:tx>
              <c:dLblPos val="bestFit"/>
              <c:showLegendKey val="0"/>
              <c:showVal val="0"/>
              <c:showCatName val="1"/>
              <c:showSerName val="0"/>
              <c:showPercent val="1"/>
              <c:showBubbleSize val="0"/>
              <c:separator>, </c:separator>
              <c:extLst>
                <c:ext xmlns:c15="http://schemas.microsoft.com/office/drawing/2012/chart" uri="{CE6537A1-D6FC-4f65-9D91-7224C49458BB}">
                  <c15:showDataLabelsRange val="1"/>
                </c:ext>
                <c:ext xmlns:c16="http://schemas.microsoft.com/office/drawing/2014/chart" uri="{C3380CC4-5D6E-409C-BE32-E72D297353CC}">
                  <c16:uniqueId val="{00000003-4E6D-4C2D-99DF-BA9F76839281}"/>
                </c:ext>
              </c:extLst>
            </c:dLbl>
            <c:dLbl>
              <c:idx val="2"/>
              <c:layout>
                <c:manualLayout>
                  <c:x val="-3.9870737867947627E-2"/>
                  <c:y val="-0.19718162972233161"/>
                </c:manualLayout>
              </c:layout>
              <c:tx>
                <c:rich>
                  <a:bodyPr/>
                  <a:lstStyle/>
                  <a:p>
                    <a:r>
                      <a:rPr lang="en-US"/>
                      <a:t>Commercial and Industrial 55.94%</a:t>
                    </a:r>
                  </a:p>
                </c:rich>
              </c:tx>
              <c:dLblPos val="bestFit"/>
              <c:showLegendKey val="0"/>
              <c:showVal val="0"/>
              <c:showCatName val="1"/>
              <c:showSerName val="0"/>
              <c:showPercent val="1"/>
              <c:showBubbleSize val="0"/>
              <c:separator>, </c:separator>
              <c:extLst>
                <c:ext xmlns:c15="http://schemas.microsoft.com/office/drawing/2012/chart" uri="{CE6537A1-D6FC-4f65-9D91-7224C49458BB}">
                  <c15:showDataLabelsRange val="1"/>
                </c:ext>
                <c:ext xmlns:c16="http://schemas.microsoft.com/office/drawing/2014/chart" uri="{C3380CC4-5D6E-409C-BE32-E72D297353CC}">
                  <c16:uniqueId val="{00000005-4E6D-4C2D-99DF-BA9F76839281}"/>
                </c:ext>
              </c:extLst>
            </c:dLbl>
            <c:numFmt formatCode="0.00%" sourceLinked="0"/>
            <c:spPr>
              <a:noFill/>
              <a:ln>
                <a:noFill/>
              </a:ln>
              <a:effectLst/>
            </c:spPr>
            <c:txPr>
              <a:bodyPr wrap="square" lIns="38100" tIns="19050" rIns="38100" bIns="19050" anchor="ctr">
                <a:spAutoFit/>
              </a:bodyPr>
              <a:lstStyle/>
              <a:p>
                <a:pPr>
                  <a:defRPr sz="1200" b="0" baseline="0">
                    <a:latin typeface="Arial" panose="020B0604020202020204" pitchFamily="34" charset="0"/>
                    <a:cs typeface="Arial" panose="020B0604020202020204" pitchFamily="34" charset="0"/>
                  </a:defRPr>
                </a:pPr>
                <a:endParaRPr lang="en-US"/>
              </a:p>
            </c:txPr>
            <c:dLblPos val="outEnd"/>
            <c:showLegendKey val="0"/>
            <c:showVal val="0"/>
            <c:showCatName val="1"/>
            <c:showSerName val="0"/>
            <c:showPercent val="1"/>
            <c:showBubbleSize val="0"/>
            <c:separator>, </c:separator>
            <c:showLeaderLines val="1"/>
            <c:extLst>
              <c:ext xmlns:c15="http://schemas.microsoft.com/office/drawing/2012/chart" uri="{CE6537A1-D6FC-4f65-9D91-7224C49458BB}">
                <c15:showDataLabelsRange val="1"/>
              </c:ext>
            </c:extLst>
          </c:dLbls>
          <c:cat>
            <c:strRef>
              <c:f>('[14]2023 Joint Table A1 Pies - Gas'!$B$30:$B$31,'[14]2023 Joint Table A1 Pies - Gas'!$B$34)</c:f>
              <c:strCache>
                <c:ptCount val="3"/>
                <c:pt idx="0">
                  <c:v>Res. Income-Eligible</c:v>
                </c:pt>
                <c:pt idx="1">
                  <c:v>Res. Non Income-Eligible</c:v>
                </c:pt>
                <c:pt idx="2">
                  <c:v>Commercial and Industrial</c:v>
                </c:pt>
              </c:strCache>
            </c:strRef>
          </c:cat>
          <c:val>
            <c:numRef>
              <c:f>('[14]2023 Joint Table A1 Pies - Gas'!$G$30:$G$31,'[14]2023 Joint Table A1 Pies - Gas'!$G$34)</c:f>
              <c:numCache>
                <c:formatCode>General</c:formatCode>
                <c:ptCount val="3"/>
                <c:pt idx="0">
                  <c:v>0.1242495</c:v>
                </c:pt>
                <c:pt idx="1">
                  <c:v>0.34159914999999996</c:v>
                </c:pt>
                <c:pt idx="2">
                  <c:v>0.53415135000000002</c:v>
                </c:pt>
              </c:numCache>
            </c:numRef>
          </c:val>
          <c:extLst>
            <c:ext xmlns:c15="http://schemas.microsoft.com/office/drawing/2012/chart" uri="{02D57815-91ED-43cb-92C2-25804820EDAC}">
              <c15:datalabelsRange>
                <c15:f>'[14]2023 Joint Table A1 Pies - Gas'!$G$30</c15:f>
                <c15:dlblRangeCache>
                  <c:ptCount val="1"/>
                  <c:pt idx="0">
                    <c:v>0.1242495</c:v>
                  </c:pt>
                </c15:dlblRangeCache>
              </c15:datalabelsRange>
            </c:ext>
            <c:ext xmlns:c16="http://schemas.microsoft.com/office/drawing/2014/chart" uri="{C3380CC4-5D6E-409C-BE32-E72D297353CC}">
              <c16:uniqueId val="{00000006-4E6D-4C2D-99DF-BA9F76839281}"/>
            </c:ext>
          </c:extLst>
        </c:ser>
        <c:dLbls>
          <c:showLegendKey val="0"/>
          <c:showVal val="0"/>
          <c:showCatName val="0"/>
          <c:showSerName val="0"/>
          <c:showPercent val="1"/>
          <c:showBubbleSize val="0"/>
          <c:showLeaderLines val="1"/>
        </c:dLbls>
        <c:firstSliceAng val="0"/>
      </c:pieChart>
    </c:plotArea>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Budget by Customer Class </a:t>
            </a:r>
          </a:p>
        </c:rich>
      </c:tx>
      <c:layout>
        <c:manualLayout>
          <c:xMode val="edge"/>
          <c:yMode val="edge"/>
          <c:x val="0.24891929048186548"/>
          <c:y val="3.7627254931762825E-3"/>
        </c:manualLayout>
      </c:layout>
      <c:overlay val="0"/>
    </c:title>
    <c:autoTitleDeleted val="0"/>
    <c:plotArea>
      <c:layout>
        <c:manualLayout>
          <c:layoutTarget val="inner"/>
          <c:xMode val="edge"/>
          <c:yMode val="edge"/>
          <c:x val="0.2249798863252965"/>
          <c:y val="0.1312802176439189"/>
          <c:w val="0.61330722300704588"/>
          <c:h val="0.88347790406395355"/>
        </c:manualLayout>
      </c:layout>
      <c:pieChart>
        <c:varyColors val="1"/>
        <c:ser>
          <c:idx val="0"/>
          <c:order val="0"/>
          <c:explosion val="3"/>
          <c:dPt>
            <c:idx val="0"/>
            <c:bubble3D val="0"/>
            <c:explosion val="5"/>
            <c:spPr>
              <a:solidFill>
                <a:schemeClr val="accent1"/>
              </a:solidFill>
            </c:spPr>
            <c:extLst>
              <c:ext xmlns:c16="http://schemas.microsoft.com/office/drawing/2014/chart" uri="{C3380CC4-5D6E-409C-BE32-E72D297353CC}">
                <c16:uniqueId val="{00000001-DCFC-403E-B162-FDCC59820495}"/>
              </c:ext>
            </c:extLst>
          </c:dPt>
          <c:dPt>
            <c:idx val="1"/>
            <c:bubble3D val="0"/>
            <c:spPr>
              <a:solidFill>
                <a:schemeClr val="tx2"/>
              </a:solidFill>
            </c:spPr>
            <c:extLst>
              <c:ext xmlns:c16="http://schemas.microsoft.com/office/drawing/2014/chart" uri="{C3380CC4-5D6E-409C-BE32-E72D297353CC}">
                <c16:uniqueId val="{00000003-DCFC-403E-B162-FDCC59820495}"/>
              </c:ext>
            </c:extLst>
          </c:dPt>
          <c:dPt>
            <c:idx val="2"/>
            <c:bubble3D val="0"/>
            <c:spPr>
              <a:solidFill>
                <a:schemeClr val="accent6">
                  <a:lumMod val="50000"/>
                </a:schemeClr>
              </a:solidFill>
            </c:spPr>
            <c:extLst>
              <c:ext xmlns:c16="http://schemas.microsoft.com/office/drawing/2014/chart" uri="{C3380CC4-5D6E-409C-BE32-E72D297353CC}">
                <c16:uniqueId val="{00000005-DCFC-403E-B162-FDCC59820495}"/>
              </c:ext>
            </c:extLst>
          </c:dPt>
          <c:dPt>
            <c:idx val="3"/>
            <c:bubble3D val="0"/>
            <c:spPr>
              <a:solidFill>
                <a:schemeClr val="accent6">
                  <a:lumMod val="75000"/>
                </a:schemeClr>
              </a:solidFill>
            </c:spPr>
            <c:extLst>
              <c:ext xmlns:c16="http://schemas.microsoft.com/office/drawing/2014/chart" uri="{C3380CC4-5D6E-409C-BE32-E72D297353CC}">
                <c16:uniqueId val="{00000007-DCFC-403E-B162-FDCC59820495}"/>
              </c:ext>
            </c:extLst>
          </c:dPt>
          <c:dPt>
            <c:idx val="4"/>
            <c:bubble3D val="0"/>
            <c:spPr>
              <a:solidFill>
                <a:schemeClr val="accent6">
                  <a:lumMod val="60000"/>
                  <a:lumOff val="40000"/>
                </a:schemeClr>
              </a:solidFill>
            </c:spPr>
            <c:extLst>
              <c:ext xmlns:c16="http://schemas.microsoft.com/office/drawing/2014/chart" uri="{C3380CC4-5D6E-409C-BE32-E72D297353CC}">
                <c16:uniqueId val="{00000009-DCFC-403E-B162-FDCC59820495}"/>
              </c:ext>
            </c:extLst>
          </c:dPt>
          <c:dPt>
            <c:idx val="5"/>
            <c:bubble3D val="0"/>
            <c:spPr>
              <a:solidFill>
                <a:schemeClr val="accent6">
                  <a:lumMod val="40000"/>
                  <a:lumOff val="60000"/>
                </a:schemeClr>
              </a:solidFill>
            </c:spPr>
            <c:extLst>
              <c:ext xmlns:c16="http://schemas.microsoft.com/office/drawing/2014/chart" uri="{C3380CC4-5D6E-409C-BE32-E72D297353CC}">
                <c16:uniqueId val="{0000000B-DCFC-403E-B162-FDCC59820495}"/>
              </c:ext>
            </c:extLst>
          </c:dPt>
          <c:dLbls>
            <c:dLbl>
              <c:idx val="0"/>
              <c:layout>
                <c:manualLayout>
                  <c:x val="-0.16124139803514861"/>
                  <c:y val="0.22093587104795501"/>
                </c:manualLayout>
              </c:layout>
              <c:tx>
                <c:rich>
                  <a:bodyPr wrap="square" lIns="38100" tIns="19050" rIns="38100" bIns="19050" anchor="ctr">
                    <a:spAutoFit/>
                  </a:bodyPr>
                  <a:lstStyle/>
                  <a:p>
                    <a:pPr>
                      <a:defRPr sz="1200" b="1" i="0" baseline="0">
                        <a:solidFill>
                          <a:schemeClr val="bg1"/>
                        </a:solidFill>
                        <a:latin typeface="Arial" panose="020B0604020202020204" pitchFamily="34" charset="0"/>
                        <a:cs typeface="Arial" panose="020B0604020202020204" pitchFamily="34" charset="0"/>
                      </a:defRPr>
                    </a:pPr>
                    <a:r>
                      <a:rPr lang="en-US" sz="1200" b="1" i="0" baseline="0">
                        <a:solidFill>
                          <a:schemeClr val="bg1"/>
                        </a:solidFill>
                      </a:rPr>
                      <a:t>Res. Income- Eligible</a:t>
                    </a:r>
                  </a:p>
                  <a:p>
                    <a:pPr>
                      <a:defRPr sz="1200" b="1" i="0" baseline="0">
                        <a:solidFill>
                          <a:schemeClr val="bg1"/>
                        </a:solidFill>
                        <a:latin typeface="Arial" panose="020B0604020202020204" pitchFamily="34" charset="0"/>
                        <a:cs typeface="Arial" panose="020B0604020202020204" pitchFamily="34" charset="0"/>
                      </a:defRPr>
                    </a:pPr>
                    <a:r>
                      <a:rPr lang="en-US" sz="1200" b="1" i="0" baseline="0">
                        <a:solidFill>
                          <a:schemeClr val="bg1"/>
                        </a:solidFill>
                      </a:rPr>
                      <a:t> 24%</a:t>
                    </a:r>
                  </a:p>
                </c:rich>
              </c:tx>
              <c:numFmt formatCode="0.00%" sourceLinked="0"/>
              <c:spPr>
                <a:noFill/>
                <a:ln>
                  <a:noFill/>
                </a:ln>
                <a:effectLst/>
              </c:spPr>
              <c:dLblPos val="bestFit"/>
              <c:showLegendKey val="0"/>
              <c:showVal val="0"/>
              <c:showCatName val="1"/>
              <c:showSerName val="0"/>
              <c:showPercent val="1"/>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01-DCFC-403E-B162-FDCC59820495}"/>
                </c:ext>
              </c:extLst>
            </c:dLbl>
            <c:dLbl>
              <c:idx val="1"/>
              <c:layout>
                <c:manualLayout>
                  <c:x val="-0.14450721996075097"/>
                  <c:y val="-0.13380389202155352"/>
                </c:manualLayout>
              </c:layout>
              <c:tx>
                <c:rich>
                  <a:bodyPr/>
                  <a:lstStyle/>
                  <a:p>
                    <a:r>
                      <a:rPr lang="en-US"/>
                      <a:t>Res. Non Income- Eligible,</a:t>
                    </a:r>
                    <a:r>
                      <a:rPr lang="en-US" baseline="0"/>
                      <a:t> 39</a:t>
                    </a:r>
                    <a:r>
                      <a:rPr lang="en-US"/>
                      <a:t>%</a:t>
                    </a:r>
                  </a:p>
                </c:rich>
              </c:tx>
              <c:dLblPos val="bestFit"/>
              <c:showLegendKey val="0"/>
              <c:showVal val="0"/>
              <c:showCatName val="1"/>
              <c:showSerName val="0"/>
              <c:showPercent val="1"/>
              <c:showBubbleSize val="0"/>
              <c:separator>, </c:separator>
              <c:extLst>
                <c:ext xmlns:c15="http://schemas.microsoft.com/office/drawing/2012/chart" uri="{CE6537A1-D6FC-4f65-9D91-7224C49458BB}">
                  <c15:showDataLabelsRange val="1"/>
                </c:ext>
                <c:ext xmlns:c16="http://schemas.microsoft.com/office/drawing/2014/chart" uri="{C3380CC4-5D6E-409C-BE32-E72D297353CC}">
                  <c16:uniqueId val="{00000003-DCFC-403E-B162-FDCC59820495}"/>
                </c:ext>
              </c:extLst>
            </c:dLbl>
            <c:dLbl>
              <c:idx val="2"/>
              <c:layout>
                <c:manualLayout>
                  <c:x val="0.15133868233969452"/>
                  <c:y val="-6.5963153420510984E-2"/>
                </c:manualLayout>
              </c:layout>
              <c:tx>
                <c:rich>
                  <a:bodyPr/>
                  <a:lstStyle/>
                  <a:p>
                    <a:fld id="{CDD4669D-F19D-4DBE-82D3-67C711F5DE35}" type="CATEGORYNAME">
                      <a:rPr lang="en-US"/>
                      <a:pPr/>
                      <a:t>[CATEGORY NAME]</a:t>
                    </a:fld>
                    <a:r>
                      <a:rPr lang="en-US" baseline="0"/>
                      <a:t>, </a:t>
                    </a:r>
                  </a:p>
                  <a:p>
                    <a:fld id="{BD1059F6-566B-4B19-8B98-5C3F61BCC5AB}" type="VALUE">
                      <a:rPr lang="en-US" baseline="0"/>
                      <a:pPr/>
                      <a:t>[VALUE]</a:t>
                    </a:fld>
                    <a:endParaRPr lang="en-US"/>
                  </a:p>
                </c:rich>
              </c:tx>
              <c:dLblPos val="bestFit"/>
              <c:showLegendKey val="0"/>
              <c:showVal val="0"/>
              <c:showCatName val="1"/>
              <c:showSerName val="0"/>
              <c:showPercent val="1"/>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5-DCFC-403E-B162-FDCC59820495}"/>
                </c:ext>
              </c:extLst>
            </c:dLbl>
            <c:dLbl>
              <c:idx val="3"/>
              <c:tx>
                <c:rich>
                  <a:bodyPr/>
                  <a:lstStyle/>
                  <a:p>
                    <a:fld id="{50C148C5-399B-4A52-857D-C8E9DF9E49E9}" type="CATEGORYNAME">
                      <a:rPr lang="en-US"/>
                      <a:pPr/>
                      <a:t>[CATEGORY NAME]</a:t>
                    </a:fld>
                    <a:r>
                      <a:rPr lang="en-US" baseline="0"/>
                      <a:t>, </a:t>
                    </a:r>
                  </a:p>
                  <a:p>
                    <a:fld id="{06D50200-1414-4754-B34E-A420BC808C53}" type="VALUE">
                      <a:rPr lang="en-US" baseline="0"/>
                      <a:pPr/>
                      <a:t>[VALUE]</a:t>
                    </a:fld>
                    <a:endParaRPr lang="en-US"/>
                  </a:p>
                </c:rich>
              </c:tx>
              <c:dLblPos val="inEnd"/>
              <c:showLegendKey val="0"/>
              <c:showVal val="0"/>
              <c:showCatName val="1"/>
              <c:showSerName val="0"/>
              <c:showPercent val="1"/>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7-DCFC-403E-B162-FDCC59820495}"/>
                </c:ext>
              </c:extLst>
            </c:dLbl>
            <c:dLbl>
              <c:idx val="4"/>
              <c:tx>
                <c:rich>
                  <a:bodyPr wrap="square" lIns="38100" tIns="19050" rIns="38100" bIns="19050" anchor="ctr">
                    <a:spAutoFit/>
                  </a:bodyPr>
                  <a:lstStyle/>
                  <a:p>
                    <a:pPr>
                      <a:defRPr sz="1200" b="1" baseline="0">
                        <a:solidFill>
                          <a:sysClr val="windowText" lastClr="000000"/>
                        </a:solidFill>
                        <a:latin typeface="Arial" panose="020B0604020202020204" pitchFamily="34" charset="0"/>
                        <a:cs typeface="Arial" panose="020B0604020202020204" pitchFamily="34" charset="0"/>
                      </a:defRPr>
                    </a:pPr>
                    <a:fld id="{A1DC247D-3B37-435F-AFB4-FF243E2CF1DC}" type="CATEGORYNAME">
                      <a:rPr lang="en-US"/>
                      <a:pPr>
                        <a:defRPr sz="1200" b="1" baseline="0">
                          <a:solidFill>
                            <a:sysClr val="windowText" lastClr="000000"/>
                          </a:solidFill>
                          <a:latin typeface="Arial" panose="020B0604020202020204" pitchFamily="34" charset="0"/>
                          <a:cs typeface="Arial" panose="020B0604020202020204" pitchFamily="34" charset="0"/>
                        </a:defRPr>
                      </a:pPr>
                      <a:t>[CATEGORY NAME]</a:t>
                    </a:fld>
                    <a:r>
                      <a:rPr lang="en-US" baseline="0"/>
                      <a:t>, </a:t>
                    </a:r>
                  </a:p>
                  <a:p>
                    <a:pPr>
                      <a:defRPr sz="1200" b="1" baseline="0">
                        <a:solidFill>
                          <a:sysClr val="windowText" lastClr="000000"/>
                        </a:solidFill>
                        <a:latin typeface="Arial" panose="020B0604020202020204" pitchFamily="34" charset="0"/>
                        <a:cs typeface="Arial" panose="020B0604020202020204" pitchFamily="34" charset="0"/>
                      </a:defRPr>
                    </a:pPr>
                    <a:fld id="{8017AAB7-42BE-49C3-A96A-2F1C2931484D}" type="VALUE">
                      <a:rPr lang="en-US" baseline="0"/>
                      <a:pPr>
                        <a:defRPr sz="1200" b="1" baseline="0">
                          <a:solidFill>
                            <a:sysClr val="windowText" lastClr="000000"/>
                          </a:solidFill>
                          <a:latin typeface="Arial" panose="020B0604020202020204" pitchFamily="34" charset="0"/>
                          <a:cs typeface="Arial" panose="020B0604020202020204" pitchFamily="34" charset="0"/>
                        </a:defRPr>
                      </a:pPr>
                      <a:t>[VALUE]</a:t>
                    </a:fld>
                    <a:r>
                      <a:rPr lang="en-US" baseline="0"/>
                      <a:t>,</a:t>
                    </a:r>
                  </a:p>
                </c:rich>
              </c:tx>
              <c:numFmt formatCode="0.00%" sourceLinked="0"/>
              <c:spPr>
                <a:noFill/>
                <a:ln>
                  <a:noFill/>
                </a:ln>
                <a:effectLst/>
              </c:spPr>
              <c:dLblPos val="inEnd"/>
              <c:showLegendKey val="0"/>
              <c:showVal val="1"/>
              <c:showCatName val="1"/>
              <c:showSerName val="0"/>
              <c:showPercent val="1"/>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9-DCFC-403E-B162-FDCC59820495}"/>
                </c:ext>
              </c:extLst>
            </c:dLbl>
            <c:dLbl>
              <c:idx val="5"/>
              <c:layout>
                <c:manualLayout>
                  <c:x val="9.1157369790158926E-2"/>
                  <c:y val="0.17185011609286546"/>
                </c:manualLayout>
              </c:layout>
              <c:tx>
                <c:rich>
                  <a:bodyPr wrap="square" lIns="38100" tIns="19050" rIns="38100" bIns="19050" anchor="ctr">
                    <a:spAutoFit/>
                  </a:bodyPr>
                  <a:lstStyle/>
                  <a:p>
                    <a:pPr>
                      <a:defRPr sz="1200" b="1" baseline="0">
                        <a:solidFill>
                          <a:sysClr val="windowText" lastClr="000000"/>
                        </a:solidFill>
                        <a:latin typeface="Arial" panose="020B0604020202020204" pitchFamily="34" charset="0"/>
                        <a:cs typeface="Arial" panose="020B0604020202020204" pitchFamily="34" charset="0"/>
                      </a:defRPr>
                    </a:pPr>
                    <a:fld id="{3AFA0CB9-6DD6-4F59-8B23-1C69798E3333}" type="CATEGORYNAME">
                      <a:rPr lang="en-US"/>
                      <a:pPr>
                        <a:defRPr sz="1200" b="1" baseline="0">
                          <a:solidFill>
                            <a:sysClr val="windowText" lastClr="000000"/>
                          </a:solidFill>
                          <a:latin typeface="Arial" panose="020B0604020202020204" pitchFamily="34" charset="0"/>
                          <a:cs typeface="Arial" panose="020B0604020202020204" pitchFamily="34" charset="0"/>
                        </a:defRPr>
                      </a:pPr>
                      <a:t>[CATEGORY NAME]</a:t>
                    </a:fld>
                    <a:r>
                      <a:rPr lang="en-US" baseline="0"/>
                      <a:t>, </a:t>
                    </a:r>
                  </a:p>
                  <a:p>
                    <a:pPr>
                      <a:defRPr sz="1200" b="1" baseline="0">
                        <a:solidFill>
                          <a:sysClr val="windowText" lastClr="000000"/>
                        </a:solidFill>
                        <a:latin typeface="Arial" panose="020B0604020202020204" pitchFamily="34" charset="0"/>
                        <a:cs typeface="Arial" panose="020B0604020202020204" pitchFamily="34" charset="0"/>
                      </a:defRPr>
                    </a:pPr>
                    <a:fld id="{18280D21-0412-43D7-AB94-5F2E44C8C034}" type="VALUE">
                      <a:rPr lang="en-US" baseline="0"/>
                      <a:pPr>
                        <a:defRPr sz="1200" b="1" baseline="0">
                          <a:solidFill>
                            <a:sysClr val="windowText" lastClr="000000"/>
                          </a:solidFill>
                          <a:latin typeface="Arial" panose="020B0604020202020204" pitchFamily="34" charset="0"/>
                          <a:cs typeface="Arial" panose="020B0604020202020204" pitchFamily="34" charset="0"/>
                        </a:defRPr>
                      </a:pPr>
                      <a:t>[VALUE]</a:t>
                    </a:fld>
                    <a:r>
                      <a:rPr lang="en-US" baseline="0"/>
                      <a:t>, </a:t>
                    </a:r>
                  </a:p>
                </c:rich>
              </c:tx>
              <c:numFmt formatCode="0.00%" sourceLinked="0"/>
              <c:spPr>
                <a:noFill/>
                <a:ln>
                  <a:noFill/>
                </a:ln>
                <a:effectLst/>
              </c:spPr>
              <c:dLblPos val="bestFit"/>
              <c:showLegendKey val="0"/>
              <c:showVal val="1"/>
              <c:showCatName val="1"/>
              <c:showSerName val="0"/>
              <c:showPercent val="1"/>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B-DCFC-403E-B162-FDCC59820495}"/>
                </c:ext>
              </c:extLst>
            </c:dLbl>
            <c:numFmt formatCode="0.00%" sourceLinked="0"/>
            <c:spPr>
              <a:noFill/>
              <a:ln>
                <a:noFill/>
              </a:ln>
              <a:effectLst/>
            </c:spPr>
            <c:txPr>
              <a:bodyPr wrap="square" lIns="38100" tIns="19050" rIns="38100" bIns="19050" anchor="ctr">
                <a:spAutoFit/>
              </a:bodyPr>
              <a:lstStyle/>
              <a:p>
                <a:pPr>
                  <a:defRPr sz="1200" b="1" baseline="0">
                    <a:solidFill>
                      <a:schemeClr val="bg1"/>
                    </a:solidFill>
                    <a:latin typeface="Arial" panose="020B0604020202020204" pitchFamily="34" charset="0"/>
                    <a:cs typeface="Arial" panose="020B0604020202020204" pitchFamily="34" charset="0"/>
                  </a:defRPr>
                </a:pPr>
                <a:endParaRPr lang="en-US"/>
              </a:p>
            </c:txPr>
            <c:dLblPos val="inEnd"/>
            <c:showLegendKey val="0"/>
            <c:showVal val="0"/>
            <c:showCatName val="1"/>
            <c:showSerName val="0"/>
            <c:showPercent val="1"/>
            <c:showBubbleSize val="0"/>
            <c:separator>, </c:separator>
            <c:showLeaderLines val="1"/>
            <c:extLst>
              <c:ext xmlns:c15="http://schemas.microsoft.com/office/drawing/2012/chart" uri="{CE6537A1-D6FC-4f65-9D91-7224C49458BB}">
                <c15:showDataLabelsRange val="1"/>
              </c:ext>
            </c:extLst>
          </c:dLbls>
          <c:cat>
            <c:strRef>
              <c:f>('[14]2023 Joint Table A1 Pies - Gas'!$B$30:$B$31,'[14]2023 Joint Table A1 Pies - Gas'!$B$35:$B$38)</c:f>
              <c:strCache>
                <c:ptCount val="6"/>
                <c:pt idx="0">
                  <c:v>Res. Income-Eligible</c:v>
                </c:pt>
                <c:pt idx="1">
                  <c:v>Res. Non Income-Eligible</c:v>
                </c:pt>
                <c:pt idx="2">
                  <c:v>C&amp;I Q1</c:v>
                </c:pt>
                <c:pt idx="3">
                  <c:v>C&amp;I Q2</c:v>
                </c:pt>
                <c:pt idx="4">
                  <c:v>C&amp;I Q3</c:v>
                </c:pt>
                <c:pt idx="5">
                  <c:v>C&amp;I Q4</c:v>
                </c:pt>
              </c:strCache>
            </c:strRef>
          </c:cat>
          <c:val>
            <c:numRef>
              <c:f>('[14]2023 Joint Table A1 Pies - Gas'!$F$30:$F$31,'[14]2023 Joint Table A1 Pies - Gas'!$F$35:$F$38)</c:f>
              <c:numCache>
                <c:formatCode>General</c:formatCode>
                <c:ptCount val="6"/>
                <c:pt idx="0">
                  <c:v>0.24020751014651867</c:v>
                </c:pt>
                <c:pt idx="1">
                  <c:v>0.39163546895422524</c:v>
                </c:pt>
                <c:pt idx="2">
                  <c:v>9.2039255224814029E-2</c:v>
                </c:pt>
                <c:pt idx="3">
                  <c:v>9.2039255224814029E-2</c:v>
                </c:pt>
                <c:pt idx="4">
                  <c:v>9.2039255224814029E-2</c:v>
                </c:pt>
                <c:pt idx="5">
                  <c:v>9.2039255224814029E-2</c:v>
                </c:pt>
              </c:numCache>
            </c:numRef>
          </c:val>
          <c:extLst>
            <c:ext xmlns:c15="http://schemas.microsoft.com/office/drawing/2012/chart" uri="{02D57815-91ED-43cb-92C2-25804820EDAC}">
              <c15:datalabelsRange>
                <c15:f>'[14]2023 Joint Table A1 Pies - Gas'!$F$34</c15:f>
                <c15:dlblRangeCache>
                  <c:ptCount val="1"/>
                  <c:pt idx="0">
                    <c:v>0.368157021</c:v>
                  </c:pt>
                </c15:dlblRangeCache>
              </c15:datalabelsRange>
            </c:ext>
            <c:ext xmlns:c16="http://schemas.microsoft.com/office/drawing/2014/chart" uri="{C3380CC4-5D6E-409C-BE32-E72D297353CC}">
              <c16:uniqueId val="{0000000C-DCFC-403E-B162-FDCC59820495}"/>
            </c:ext>
          </c:extLst>
        </c:ser>
        <c:dLbls>
          <c:showLegendKey val="0"/>
          <c:showVal val="0"/>
          <c:showCatName val="0"/>
          <c:showSerName val="0"/>
          <c:showPercent val="1"/>
          <c:showBubbleSize val="0"/>
          <c:showLeaderLines val="1"/>
        </c:dLbls>
        <c:firstSliceAng val="0"/>
      </c:pieChart>
    </c:plotArea>
    <c:plotVisOnly val="1"/>
    <c:dispBlanksAs val="gap"/>
    <c:showDLblsOverMax val="0"/>
  </c:chart>
  <c:spPr>
    <a:ln>
      <a:solidFill>
        <a:schemeClr val="bg1"/>
      </a:solidFill>
    </a:ln>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Revenue by Customer Class </a:t>
            </a:r>
          </a:p>
        </c:rich>
      </c:tx>
      <c:layout>
        <c:manualLayout>
          <c:xMode val="edge"/>
          <c:yMode val="edge"/>
          <c:x val="0.23858808168976275"/>
          <c:y val="0"/>
        </c:manualLayout>
      </c:layout>
      <c:overlay val="0"/>
    </c:title>
    <c:autoTitleDeleted val="0"/>
    <c:plotArea>
      <c:layout>
        <c:manualLayout>
          <c:layoutTarget val="inner"/>
          <c:xMode val="edge"/>
          <c:yMode val="edge"/>
          <c:x val="0.19006205225455008"/>
          <c:y val="0.13514692721709126"/>
          <c:w val="0.65596931093406918"/>
          <c:h val="0.86485307278290868"/>
        </c:manualLayout>
      </c:layout>
      <c:pieChart>
        <c:varyColors val="1"/>
        <c:ser>
          <c:idx val="0"/>
          <c:order val="0"/>
          <c:explosion val="2"/>
          <c:dPt>
            <c:idx val="0"/>
            <c:bubble3D val="0"/>
            <c:spPr>
              <a:solidFill>
                <a:schemeClr val="accent1"/>
              </a:solidFill>
            </c:spPr>
            <c:extLst>
              <c:ext xmlns:c16="http://schemas.microsoft.com/office/drawing/2014/chart" uri="{C3380CC4-5D6E-409C-BE32-E72D297353CC}">
                <c16:uniqueId val="{00000001-EBAE-4BBF-BCA6-B38FF0A21DC0}"/>
              </c:ext>
            </c:extLst>
          </c:dPt>
          <c:dPt>
            <c:idx val="1"/>
            <c:bubble3D val="0"/>
            <c:spPr>
              <a:solidFill>
                <a:schemeClr val="tx2"/>
              </a:solidFill>
            </c:spPr>
            <c:extLst>
              <c:ext xmlns:c16="http://schemas.microsoft.com/office/drawing/2014/chart" uri="{C3380CC4-5D6E-409C-BE32-E72D297353CC}">
                <c16:uniqueId val="{00000003-EBAE-4BBF-BCA6-B38FF0A21DC0}"/>
              </c:ext>
            </c:extLst>
          </c:dPt>
          <c:dPt>
            <c:idx val="2"/>
            <c:bubble3D val="0"/>
            <c:spPr>
              <a:solidFill>
                <a:schemeClr val="accent6">
                  <a:lumMod val="50000"/>
                </a:schemeClr>
              </a:solidFill>
            </c:spPr>
            <c:extLst>
              <c:ext xmlns:c16="http://schemas.microsoft.com/office/drawing/2014/chart" uri="{C3380CC4-5D6E-409C-BE32-E72D297353CC}">
                <c16:uniqueId val="{00000005-EBAE-4BBF-BCA6-B38FF0A21DC0}"/>
              </c:ext>
            </c:extLst>
          </c:dPt>
          <c:dPt>
            <c:idx val="3"/>
            <c:bubble3D val="0"/>
            <c:spPr>
              <a:solidFill>
                <a:schemeClr val="accent6">
                  <a:lumMod val="75000"/>
                </a:schemeClr>
              </a:solidFill>
            </c:spPr>
            <c:extLst>
              <c:ext xmlns:c16="http://schemas.microsoft.com/office/drawing/2014/chart" uri="{C3380CC4-5D6E-409C-BE32-E72D297353CC}">
                <c16:uniqueId val="{00000007-EBAE-4BBF-BCA6-B38FF0A21DC0}"/>
              </c:ext>
            </c:extLst>
          </c:dPt>
          <c:dPt>
            <c:idx val="4"/>
            <c:bubble3D val="0"/>
            <c:spPr>
              <a:solidFill>
                <a:schemeClr val="accent6">
                  <a:lumMod val="60000"/>
                  <a:lumOff val="40000"/>
                </a:schemeClr>
              </a:solidFill>
            </c:spPr>
            <c:extLst>
              <c:ext xmlns:c16="http://schemas.microsoft.com/office/drawing/2014/chart" uri="{C3380CC4-5D6E-409C-BE32-E72D297353CC}">
                <c16:uniqueId val="{00000009-EBAE-4BBF-BCA6-B38FF0A21DC0}"/>
              </c:ext>
            </c:extLst>
          </c:dPt>
          <c:dPt>
            <c:idx val="5"/>
            <c:bubble3D val="0"/>
            <c:spPr>
              <a:solidFill>
                <a:schemeClr val="accent6">
                  <a:lumMod val="40000"/>
                  <a:lumOff val="60000"/>
                </a:schemeClr>
              </a:solidFill>
            </c:spPr>
            <c:extLst>
              <c:ext xmlns:c16="http://schemas.microsoft.com/office/drawing/2014/chart" uri="{C3380CC4-5D6E-409C-BE32-E72D297353CC}">
                <c16:uniqueId val="{0000000B-EBAE-4BBF-BCA6-B38FF0A21DC0}"/>
              </c:ext>
            </c:extLst>
          </c:dPt>
          <c:dLbls>
            <c:dLbl>
              <c:idx val="0"/>
              <c:layout>
                <c:manualLayout>
                  <c:x val="-0.10833557061984615"/>
                  <c:y val="0.17841940742355752"/>
                </c:manualLayout>
              </c:layout>
              <c:tx>
                <c:rich>
                  <a:bodyPr wrap="square" lIns="38100" tIns="19050" rIns="38100" bIns="19050" anchor="ctr">
                    <a:spAutoFit/>
                  </a:bodyPr>
                  <a:lstStyle/>
                  <a:p>
                    <a:pPr>
                      <a:defRPr sz="1200" b="1" i="0" baseline="0">
                        <a:solidFill>
                          <a:schemeClr val="bg1"/>
                        </a:solidFill>
                        <a:latin typeface="Arial" panose="020B0604020202020204" pitchFamily="34" charset="0"/>
                        <a:cs typeface="Arial" panose="020B0604020202020204" pitchFamily="34" charset="0"/>
                      </a:defRPr>
                    </a:pPr>
                    <a:r>
                      <a:rPr lang="en-US" sz="1200" b="1" i="0" baseline="0">
                        <a:solidFill>
                          <a:schemeClr val="bg1"/>
                        </a:solidFill>
                      </a:rPr>
                      <a:t>Res.</a:t>
                    </a:r>
                  </a:p>
                  <a:p>
                    <a:pPr>
                      <a:defRPr sz="1200" b="1" i="0" baseline="0">
                        <a:solidFill>
                          <a:schemeClr val="bg1"/>
                        </a:solidFill>
                        <a:latin typeface="Arial" panose="020B0604020202020204" pitchFamily="34" charset="0"/>
                        <a:cs typeface="Arial" panose="020B0604020202020204" pitchFamily="34" charset="0"/>
                      </a:defRPr>
                    </a:pPr>
                    <a:r>
                      <a:rPr lang="en-US" sz="1200" b="1" i="0" baseline="0">
                        <a:solidFill>
                          <a:schemeClr val="bg1"/>
                        </a:solidFill>
                      </a:rPr>
                      <a:t> Income- Eligible</a:t>
                    </a:r>
                  </a:p>
                  <a:p>
                    <a:pPr>
                      <a:defRPr sz="1200" b="1" i="0" baseline="0">
                        <a:solidFill>
                          <a:schemeClr val="bg1"/>
                        </a:solidFill>
                        <a:latin typeface="Arial" panose="020B0604020202020204" pitchFamily="34" charset="0"/>
                        <a:cs typeface="Arial" panose="020B0604020202020204" pitchFamily="34" charset="0"/>
                      </a:defRPr>
                    </a:pPr>
                    <a:r>
                      <a:rPr lang="en-US" sz="1200" b="1" i="0" baseline="0">
                        <a:solidFill>
                          <a:schemeClr val="bg1"/>
                        </a:solidFill>
                      </a:rPr>
                      <a:t> 12%</a:t>
                    </a:r>
                  </a:p>
                </c:rich>
              </c:tx>
              <c:numFmt formatCode="0.00%" sourceLinked="0"/>
              <c:spPr>
                <a:noFill/>
                <a:ln>
                  <a:noFill/>
                </a:ln>
                <a:effectLst/>
              </c:spPr>
              <c:dLblPos val="bestFit"/>
              <c:showLegendKey val="0"/>
              <c:showVal val="0"/>
              <c:showCatName val="1"/>
              <c:showSerName val="0"/>
              <c:showPercent val="1"/>
              <c:showBubbleSize val="0"/>
              <c:separator>, </c:separator>
              <c:extLst>
                <c:ext xmlns:c15="http://schemas.microsoft.com/office/drawing/2012/chart" uri="{CE6537A1-D6FC-4f65-9D91-7224C49458BB}">
                  <c15:showDataLabelsRange val="1"/>
                </c:ext>
                <c:ext xmlns:c16="http://schemas.microsoft.com/office/drawing/2014/chart" uri="{C3380CC4-5D6E-409C-BE32-E72D297353CC}">
                  <c16:uniqueId val="{00000001-EBAE-4BBF-BCA6-B38FF0A21DC0}"/>
                </c:ext>
              </c:extLst>
            </c:dLbl>
            <c:dLbl>
              <c:idx val="1"/>
              <c:layout>
                <c:manualLayout>
                  <c:x val="-0.21593942065994678"/>
                  <c:y val="-5.8893590266879958E-2"/>
                </c:manualLayout>
              </c:layout>
              <c:tx>
                <c:rich>
                  <a:bodyPr/>
                  <a:lstStyle/>
                  <a:p>
                    <a:r>
                      <a:rPr lang="en-US"/>
                      <a:t>Res. Non Income- Eligible</a:t>
                    </a:r>
                    <a:r>
                      <a:rPr lang="en-US" baseline="0"/>
                      <a:t>,</a:t>
                    </a:r>
                  </a:p>
                  <a:p>
                    <a:r>
                      <a:rPr lang="en-US" baseline="0"/>
                      <a:t>34</a:t>
                    </a:r>
                    <a:r>
                      <a:rPr lang="en-US"/>
                      <a:t>%</a:t>
                    </a:r>
                  </a:p>
                </c:rich>
              </c:tx>
              <c:dLblPos val="bestFit"/>
              <c:showLegendKey val="0"/>
              <c:showVal val="0"/>
              <c:showCatName val="1"/>
              <c:showSerName val="0"/>
              <c:showPercent val="1"/>
              <c:showBubbleSize val="0"/>
              <c:separator>, </c:separator>
              <c:extLst>
                <c:ext xmlns:c15="http://schemas.microsoft.com/office/drawing/2012/chart" uri="{CE6537A1-D6FC-4f65-9D91-7224C49458BB}">
                  <c15:showDataLabelsRange val="1"/>
                </c:ext>
                <c:ext xmlns:c16="http://schemas.microsoft.com/office/drawing/2014/chart" uri="{C3380CC4-5D6E-409C-BE32-E72D297353CC}">
                  <c16:uniqueId val="{00000003-EBAE-4BBF-BCA6-B38FF0A21DC0}"/>
                </c:ext>
              </c:extLst>
            </c:dLbl>
            <c:dLbl>
              <c:idx val="2"/>
              <c:layout>
                <c:manualLayout>
                  <c:x val="7.5033000370786376E-2"/>
                  <c:y val="-8.5929922144166393E-2"/>
                </c:manualLayout>
              </c:layout>
              <c:tx>
                <c:rich>
                  <a:bodyPr/>
                  <a:lstStyle/>
                  <a:p>
                    <a:fld id="{C3A32658-A6E9-446E-A3B4-0A5289F728BE}" type="CATEGORYNAME">
                      <a:rPr lang="en-US"/>
                      <a:pPr/>
                      <a:t>[CATEGORY NAME]</a:t>
                    </a:fld>
                    <a:r>
                      <a:rPr lang="en-US" baseline="0"/>
                      <a:t>, </a:t>
                    </a:r>
                  </a:p>
                  <a:p>
                    <a:fld id="{58B68E5F-CD49-4D74-BB00-B70F426C1B96}" type="VALUE">
                      <a:rPr lang="en-US" baseline="0"/>
                      <a:pPr/>
                      <a:t>[VALUE]</a:t>
                    </a:fld>
                    <a:endParaRPr lang="en-US"/>
                  </a:p>
                </c:rich>
              </c:tx>
              <c:dLblPos val="bestFit"/>
              <c:showLegendKey val="0"/>
              <c:showVal val="0"/>
              <c:showCatName val="1"/>
              <c:showSerName val="0"/>
              <c:showPercent val="1"/>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5-EBAE-4BBF-BCA6-B38FF0A21DC0}"/>
                </c:ext>
              </c:extLst>
            </c:dLbl>
            <c:dLbl>
              <c:idx val="3"/>
              <c:layout>
                <c:manualLayout>
                  <c:x val="0.15259718175791417"/>
                  <c:y val="-9.7891478449576241E-2"/>
                </c:manualLayout>
              </c:layout>
              <c:tx>
                <c:rich>
                  <a:bodyPr/>
                  <a:lstStyle/>
                  <a:p>
                    <a:fld id="{A4598529-A1A7-4769-8811-6B39DF8237D6}" type="CATEGORYNAME">
                      <a:rPr lang="en-US"/>
                      <a:pPr/>
                      <a:t>[CATEGORY NAME]</a:t>
                    </a:fld>
                    <a:r>
                      <a:rPr lang="en-US" baseline="0"/>
                      <a:t>, </a:t>
                    </a:r>
                  </a:p>
                  <a:p>
                    <a:fld id="{798680DD-568C-4AFC-8F1D-EE16D90307D6}" type="VALUE">
                      <a:rPr lang="en-US" baseline="0"/>
                      <a:pPr/>
                      <a:t>[VALUE]</a:t>
                    </a:fld>
                    <a:endParaRPr lang="en-US"/>
                  </a:p>
                </c:rich>
              </c:tx>
              <c:dLblPos val="bestFit"/>
              <c:showLegendKey val="0"/>
              <c:showVal val="0"/>
              <c:showCatName val="1"/>
              <c:showSerName val="0"/>
              <c:showPercent val="1"/>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7-EBAE-4BBF-BCA6-B38FF0A21DC0}"/>
                </c:ext>
              </c:extLst>
            </c:dLbl>
            <c:dLbl>
              <c:idx val="4"/>
              <c:layout>
                <c:manualLayout>
                  <c:x val="0.15843796792365855"/>
                  <c:y val="5.1580567224494035E-2"/>
                </c:manualLayout>
              </c:layout>
              <c:tx>
                <c:rich>
                  <a:bodyPr wrap="square" lIns="38100" tIns="19050" rIns="38100" bIns="19050" anchor="ctr">
                    <a:spAutoFit/>
                  </a:bodyPr>
                  <a:lstStyle/>
                  <a:p>
                    <a:pPr>
                      <a:defRPr sz="1200" b="1" baseline="0">
                        <a:solidFill>
                          <a:sysClr val="windowText" lastClr="000000"/>
                        </a:solidFill>
                        <a:latin typeface="Arial" panose="020B0604020202020204" pitchFamily="34" charset="0"/>
                        <a:cs typeface="Arial" panose="020B0604020202020204" pitchFamily="34" charset="0"/>
                      </a:defRPr>
                    </a:pPr>
                    <a:fld id="{65DED0A5-53B0-400E-9B59-4AC9FAA392D9}" type="CATEGORYNAME">
                      <a:rPr lang="en-US"/>
                      <a:pPr>
                        <a:defRPr sz="1200" b="1" baseline="0">
                          <a:solidFill>
                            <a:sysClr val="windowText" lastClr="000000"/>
                          </a:solidFill>
                          <a:latin typeface="Arial" panose="020B0604020202020204" pitchFamily="34" charset="0"/>
                          <a:cs typeface="Arial" panose="020B0604020202020204" pitchFamily="34" charset="0"/>
                        </a:defRPr>
                      </a:pPr>
                      <a:t>[CATEGORY NAME]</a:t>
                    </a:fld>
                    <a:r>
                      <a:rPr lang="en-US" baseline="0"/>
                      <a:t>, </a:t>
                    </a:r>
                  </a:p>
                  <a:p>
                    <a:pPr>
                      <a:defRPr sz="1200" b="1" baseline="0">
                        <a:solidFill>
                          <a:sysClr val="windowText" lastClr="000000"/>
                        </a:solidFill>
                        <a:latin typeface="Arial" panose="020B0604020202020204" pitchFamily="34" charset="0"/>
                        <a:cs typeface="Arial" panose="020B0604020202020204" pitchFamily="34" charset="0"/>
                      </a:defRPr>
                    </a:pPr>
                    <a:fld id="{0BDE3E15-0922-47BE-AFBD-6CEB31C569A8}" type="VALUE">
                      <a:rPr lang="en-US" baseline="0"/>
                      <a:pPr>
                        <a:defRPr sz="1200" b="1" baseline="0">
                          <a:solidFill>
                            <a:sysClr val="windowText" lastClr="000000"/>
                          </a:solidFill>
                          <a:latin typeface="Arial" panose="020B0604020202020204" pitchFamily="34" charset="0"/>
                          <a:cs typeface="Arial" panose="020B0604020202020204" pitchFamily="34" charset="0"/>
                        </a:defRPr>
                      </a:pPr>
                      <a:t>[VALUE]</a:t>
                    </a:fld>
                    <a:endParaRPr lang="en-US"/>
                  </a:p>
                </c:rich>
              </c:tx>
              <c:numFmt formatCode="0.00%" sourceLinked="0"/>
              <c:spPr>
                <a:noFill/>
                <a:ln>
                  <a:noFill/>
                </a:ln>
                <a:effectLst/>
              </c:spPr>
              <c:dLblPos val="bestFit"/>
              <c:showLegendKey val="0"/>
              <c:showVal val="0"/>
              <c:showCatName val="1"/>
              <c:showSerName val="0"/>
              <c:showPercent val="1"/>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9-EBAE-4BBF-BCA6-B38FF0A21DC0}"/>
                </c:ext>
              </c:extLst>
            </c:dLbl>
            <c:dLbl>
              <c:idx val="5"/>
              <c:layout>
                <c:manualLayout>
                  <c:x val="9.531617358261342E-2"/>
                  <c:y val="0.17288457004363067"/>
                </c:manualLayout>
              </c:layout>
              <c:tx>
                <c:rich>
                  <a:bodyPr wrap="square" lIns="38100" tIns="19050" rIns="38100" bIns="19050" anchor="ctr">
                    <a:spAutoFit/>
                  </a:bodyPr>
                  <a:lstStyle/>
                  <a:p>
                    <a:pPr>
                      <a:defRPr sz="1200" b="1" baseline="0">
                        <a:solidFill>
                          <a:sysClr val="windowText" lastClr="000000"/>
                        </a:solidFill>
                        <a:latin typeface="Arial" panose="020B0604020202020204" pitchFamily="34" charset="0"/>
                        <a:cs typeface="Arial" panose="020B0604020202020204" pitchFamily="34" charset="0"/>
                      </a:defRPr>
                    </a:pPr>
                    <a:fld id="{054171E8-4656-4BCB-B3B7-7AD095E99507}" type="CATEGORYNAME">
                      <a:rPr lang="en-US"/>
                      <a:pPr>
                        <a:defRPr sz="1200" b="1" baseline="0">
                          <a:solidFill>
                            <a:sysClr val="windowText" lastClr="000000"/>
                          </a:solidFill>
                          <a:latin typeface="Arial" panose="020B0604020202020204" pitchFamily="34" charset="0"/>
                          <a:cs typeface="Arial" panose="020B0604020202020204" pitchFamily="34" charset="0"/>
                        </a:defRPr>
                      </a:pPr>
                      <a:t>[CATEGORY NAME]</a:t>
                    </a:fld>
                    <a:r>
                      <a:rPr lang="en-US" baseline="0"/>
                      <a:t>, </a:t>
                    </a:r>
                  </a:p>
                  <a:p>
                    <a:pPr>
                      <a:defRPr sz="1200" b="1" baseline="0">
                        <a:solidFill>
                          <a:sysClr val="windowText" lastClr="000000"/>
                        </a:solidFill>
                        <a:latin typeface="Arial" panose="020B0604020202020204" pitchFamily="34" charset="0"/>
                        <a:cs typeface="Arial" panose="020B0604020202020204" pitchFamily="34" charset="0"/>
                      </a:defRPr>
                    </a:pPr>
                    <a:fld id="{C785B203-8BF4-4D42-821E-EBDEED831AC3}" type="VALUE">
                      <a:rPr lang="en-US" baseline="0"/>
                      <a:pPr>
                        <a:defRPr sz="1200" b="1" baseline="0">
                          <a:solidFill>
                            <a:sysClr val="windowText" lastClr="000000"/>
                          </a:solidFill>
                          <a:latin typeface="Arial" panose="020B0604020202020204" pitchFamily="34" charset="0"/>
                          <a:cs typeface="Arial" panose="020B0604020202020204" pitchFamily="34" charset="0"/>
                        </a:defRPr>
                      </a:pPr>
                      <a:t>[VALUE]</a:t>
                    </a:fld>
                    <a:endParaRPr lang="en-US"/>
                  </a:p>
                </c:rich>
              </c:tx>
              <c:numFmt formatCode="0.00%" sourceLinked="0"/>
              <c:spPr>
                <a:noFill/>
                <a:ln>
                  <a:noFill/>
                </a:ln>
                <a:effectLst/>
              </c:spPr>
              <c:dLblPos val="bestFit"/>
              <c:showLegendKey val="0"/>
              <c:showVal val="0"/>
              <c:showCatName val="1"/>
              <c:showSerName val="0"/>
              <c:showPercent val="1"/>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B-EBAE-4BBF-BCA6-B38FF0A21DC0}"/>
                </c:ext>
              </c:extLst>
            </c:dLbl>
            <c:numFmt formatCode="0.00%" sourceLinked="0"/>
            <c:spPr>
              <a:noFill/>
              <a:ln>
                <a:noFill/>
              </a:ln>
              <a:effectLst/>
            </c:spPr>
            <c:txPr>
              <a:bodyPr wrap="square" lIns="38100" tIns="19050" rIns="38100" bIns="19050" anchor="ctr">
                <a:spAutoFit/>
              </a:bodyPr>
              <a:lstStyle/>
              <a:p>
                <a:pPr>
                  <a:defRPr sz="1200" b="1" baseline="0">
                    <a:solidFill>
                      <a:schemeClr val="bg1"/>
                    </a:solidFill>
                    <a:latin typeface="Arial" panose="020B0604020202020204" pitchFamily="34" charset="0"/>
                    <a:cs typeface="Arial" panose="020B0604020202020204" pitchFamily="34" charset="0"/>
                  </a:defRPr>
                </a:pPr>
                <a:endParaRPr lang="en-US"/>
              </a:p>
            </c:txPr>
            <c:dLblPos val="inEnd"/>
            <c:showLegendKey val="0"/>
            <c:showVal val="0"/>
            <c:showCatName val="1"/>
            <c:showSerName val="0"/>
            <c:showPercent val="1"/>
            <c:showBubbleSize val="0"/>
            <c:separator>, </c:separator>
            <c:showLeaderLines val="1"/>
            <c:extLst>
              <c:ext xmlns:c15="http://schemas.microsoft.com/office/drawing/2012/chart" uri="{CE6537A1-D6FC-4f65-9D91-7224C49458BB}">
                <c15:showDataLabelsRange val="1"/>
              </c:ext>
            </c:extLst>
          </c:dLbls>
          <c:cat>
            <c:strRef>
              <c:f>('[14]2023 Joint Table A1 Pies - Gas'!$B$30:$B$31,'[14]2023 Joint Table A1 Pies - Gas'!$B$35:$B$38)</c:f>
              <c:strCache>
                <c:ptCount val="6"/>
                <c:pt idx="0">
                  <c:v>Res. Income-Eligible</c:v>
                </c:pt>
                <c:pt idx="1">
                  <c:v>Res. Non Income-Eligible</c:v>
                </c:pt>
                <c:pt idx="2">
                  <c:v>C&amp;I Q1</c:v>
                </c:pt>
                <c:pt idx="3">
                  <c:v>C&amp;I Q2</c:v>
                </c:pt>
                <c:pt idx="4">
                  <c:v>C&amp;I Q3</c:v>
                </c:pt>
                <c:pt idx="5">
                  <c:v>C&amp;I Q4</c:v>
                </c:pt>
              </c:strCache>
            </c:strRef>
          </c:cat>
          <c:val>
            <c:numRef>
              <c:f>('[14]2023 Joint Table A1 Pies - Gas'!$G$30:$G$31,'[14]2023 Joint Table A1 Pies - Gas'!$G$35:$G$38)</c:f>
              <c:numCache>
                <c:formatCode>General</c:formatCode>
                <c:ptCount val="6"/>
                <c:pt idx="0">
                  <c:v>0.1242495</c:v>
                </c:pt>
                <c:pt idx="1">
                  <c:v>0.34159914999999996</c:v>
                </c:pt>
                <c:pt idx="2">
                  <c:v>0.13353783750000001</c:v>
                </c:pt>
                <c:pt idx="3">
                  <c:v>0.13353783750000001</c:v>
                </c:pt>
                <c:pt idx="4">
                  <c:v>0.13353783750000001</c:v>
                </c:pt>
                <c:pt idx="5">
                  <c:v>0.13353783750000001</c:v>
                </c:pt>
              </c:numCache>
            </c:numRef>
          </c:val>
          <c:extLst>
            <c:ext xmlns:c15="http://schemas.microsoft.com/office/drawing/2012/chart" uri="{02D57815-91ED-43cb-92C2-25804820EDAC}">
              <c15:datalabelsRange>
                <c15:f>'[14]2023 Joint Table A1 Pies - Gas'!$G$30</c15:f>
                <c15:dlblRangeCache>
                  <c:ptCount val="1"/>
                  <c:pt idx="0">
                    <c:v>0.1242495</c:v>
                  </c:pt>
                </c15:dlblRangeCache>
              </c15:datalabelsRange>
            </c:ext>
            <c:ext xmlns:c16="http://schemas.microsoft.com/office/drawing/2014/chart" uri="{C3380CC4-5D6E-409C-BE32-E72D297353CC}">
              <c16:uniqueId val="{0000000C-EBAE-4BBF-BCA6-B38FF0A21DC0}"/>
            </c:ext>
          </c:extLst>
        </c:ser>
        <c:dLbls>
          <c:showLegendKey val="0"/>
          <c:showVal val="0"/>
          <c:showCatName val="0"/>
          <c:showSerName val="0"/>
          <c:showPercent val="1"/>
          <c:showBubbleSize val="0"/>
          <c:showLeaderLines val="1"/>
        </c:dLbls>
        <c:firstSliceAng val="0"/>
      </c:pieChart>
    </c:plotArea>
    <c:plotVisOnly val="1"/>
    <c:dispBlanksAs val="gap"/>
    <c:showDLblsOverMax val="0"/>
  </c:chart>
  <c:spPr>
    <a:ln>
      <a:solidFill>
        <a:schemeClr val="bg1"/>
      </a:solidFill>
    </a:ln>
  </c:sp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Budget by Customer Class </a:t>
            </a:r>
          </a:p>
        </c:rich>
      </c:tx>
      <c:layout>
        <c:manualLayout>
          <c:xMode val="edge"/>
          <c:yMode val="edge"/>
          <c:x val="0.2437536860858141"/>
          <c:y val="2.2576352959057695E-2"/>
        </c:manualLayout>
      </c:layout>
      <c:overlay val="0"/>
    </c:title>
    <c:autoTitleDeleted val="0"/>
    <c:plotArea>
      <c:layout/>
      <c:pieChart>
        <c:varyColors val="1"/>
        <c:ser>
          <c:idx val="0"/>
          <c:order val="0"/>
          <c:dLbls>
            <c:dLbl>
              <c:idx val="0"/>
              <c:layout>
                <c:manualLayout>
                  <c:x val="0.10165323060363142"/>
                  <c:y val="6.3284617381071176E-2"/>
                </c:manualLayout>
              </c:layout>
              <c:tx>
                <c:rich>
                  <a:bodyPr wrap="square" lIns="38100" tIns="19050" rIns="38100" bIns="19050" anchor="ctr">
                    <a:spAutoFit/>
                  </a:bodyPr>
                  <a:lstStyle/>
                  <a:p>
                    <a:pPr>
                      <a:defRPr sz="1200" b="0" i="0" baseline="0">
                        <a:latin typeface="Arial" panose="020B0604020202020204" pitchFamily="34" charset="0"/>
                        <a:cs typeface="Arial" panose="020B0604020202020204" pitchFamily="34" charset="0"/>
                      </a:defRPr>
                    </a:pPr>
                    <a:r>
                      <a:rPr lang="en-US" sz="1200" b="0" i="0" baseline="0"/>
                      <a:t>Res. Income- Eligible</a:t>
                    </a:r>
                  </a:p>
                  <a:p>
                    <a:pPr>
                      <a:defRPr sz="1200" b="0" i="0" baseline="0">
                        <a:latin typeface="Arial" panose="020B0604020202020204" pitchFamily="34" charset="0"/>
                        <a:cs typeface="Arial" panose="020B0604020202020204" pitchFamily="34" charset="0"/>
                      </a:defRPr>
                    </a:pPr>
                    <a:r>
                      <a:rPr lang="en-US" sz="1200" b="0" i="0" baseline="0"/>
                      <a:t> 23.98%</a:t>
                    </a:r>
                  </a:p>
                </c:rich>
              </c:tx>
              <c:numFmt formatCode="0.00%" sourceLinked="0"/>
              <c:spPr>
                <a:noFill/>
                <a:ln>
                  <a:noFill/>
                </a:ln>
                <a:effectLst/>
              </c:spPr>
              <c:dLblPos val="bestFit"/>
              <c:showLegendKey val="0"/>
              <c:showVal val="0"/>
              <c:showCatName val="1"/>
              <c:showSerName val="0"/>
              <c:showPercent val="1"/>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00-9F47-4BAD-8F48-6A4BB1EEE297}"/>
                </c:ext>
              </c:extLst>
            </c:dLbl>
            <c:dLbl>
              <c:idx val="1"/>
              <c:layout>
                <c:manualLayout>
                  <c:x val="0.1215218602683673"/>
                  <c:y val="-7.1084402673253652E-2"/>
                </c:manualLayout>
              </c:layout>
              <c:tx>
                <c:rich>
                  <a:bodyPr/>
                  <a:lstStyle/>
                  <a:p>
                    <a:r>
                      <a:rPr lang="en-US"/>
                      <a:t>Res. Non Income- Eligible</a:t>
                    </a:r>
                    <a:r>
                      <a:rPr lang="en-US" baseline="0"/>
                      <a:t> 39.37</a:t>
                    </a:r>
                    <a:r>
                      <a:rPr lang="en-US"/>
                      <a:t>%</a:t>
                    </a:r>
                  </a:p>
                </c:rich>
              </c:tx>
              <c:dLblPos val="bestFit"/>
              <c:showLegendKey val="0"/>
              <c:showVal val="0"/>
              <c:showCatName val="1"/>
              <c:showSerName val="0"/>
              <c:showPercent val="1"/>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01-9F47-4BAD-8F48-6A4BB1EEE297}"/>
                </c:ext>
              </c:extLst>
            </c:dLbl>
            <c:dLbl>
              <c:idx val="2"/>
              <c:layout>
                <c:manualLayout>
                  <c:x val="-4.7619047619047616E-2"/>
                  <c:y val="-0.12192723697148476"/>
                </c:manualLayout>
              </c:layout>
              <c:tx>
                <c:rich>
                  <a:bodyPr/>
                  <a:lstStyle/>
                  <a:p>
                    <a:r>
                      <a:rPr lang="en-US"/>
                      <a:t>Commercial and Industrial 36.65%</a:t>
                    </a:r>
                  </a:p>
                </c:rich>
              </c:tx>
              <c:dLblPos val="bestFit"/>
              <c:showLegendKey val="0"/>
              <c:showVal val="0"/>
              <c:showCatName val="1"/>
              <c:showSerName val="0"/>
              <c:showPercent val="1"/>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02-9F47-4BAD-8F48-6A4BB1EEE297}"/>
                </c:ext>
              </c:extLst>
            </c:dLbl>
            <c:numFmt formatCode="0.00%" sourceLinked="0"/>
            <c:spPr>
              <a:noFill/>
              <a:ln>
                <a:noFill/>
              </a:ln>
              <a:effectLst/>
            </c:spPr>
            <c:txPr>
              <a:bodyPr wrap="square" lIns="38100" tIns="19050" rIns="38100" bIns="19050" anchor="ctr">
                <a:spAutoFit/>
              </a:bodyPr>
              <a:lstStyle/>
              <a:p>
                <a:pPr>
                  <a:defRPr sz="1200" b="0" baseline="0">
                    <a:latin typeface="Arial" panose="020B0604020202020204" pitchFamily="34" charset="0"/>
                    <a:cs typeface="Arial" panose="020B0604020202020204" pitchFamily="34" charset="0"/>
                  </a:defRPr>
                </a:pPr>
                <a:endParaRPr lang="en-US"/>
              </a:p>
            </c:txPr>
            <c:dLblPos val="outEnd"/>
            <c:showLegendKey val="0"/>
            <c:showVal val="0"/>
            <c:showCatName val="1"/>
            <c:showSerName val="0"/>
            <c:showPercent val="1"/>
            <c:showBubbleSize val="0"/>
            <c:separator>, </c:separator>
            <c:showLeaderLines val="1"/>
            <c:extLst>
              <c:ext xmlns:c15="http://schemas.microsoft.com/office/drawing/2012/chart" uri="{CE6537A1-D6FC-4f65-9D91-7224C49458BB}"/>
            </c:extLst>
          </c:dLbls>
          <c:cat>
            <c:strRef>
              <c:f>('2024 Joint Table A1 Pies '!$B$30:$B$31,'2024 Joint Table A1 Pies '!$B$34)</c:f>
              <c:strCache>
                <c:ptCount val="3"/>
                <c:pt idx="0">
                  <c:v>Res. Income-Eligible</c:v>
                </c:pt>
                <c:pt idx="1">
                  <c:v>Res. Non Income-Eligible</c:v>
                </c:pt>
                <c:pt idx="2">
                  <c:v>Commercial and Industrial</c:v>
                </c:pt>
              </c:strCache>
            </c:strRef>
          </c:cat>
          <c:val>
            <c:numRef>
              <c:f>('2024 Joint Table A1 Pies '!$F$30:$F$31,'2024 Joint Table A1 Pies '!$F$34)</c:f>
              <c:numCache>
                <c:formatCode>0.00%</c:formatCode>
                <c:ptCount val="3"/>
                <c:pt idx="0">
                  <c:v>0.18499874805653016</c:v>
                </c:pt>
                <c:pt idx="1">
                  <c:v>0.44924590043526941</c:v>
                </c:pt>
                <c:pt idx="2">
                  <c:v>0.36575535150820043</c:v>
                </c:pt>
              </c:numCache>
            </c:numRef>
          </c:val>
          <c:extLst>
            <c:ext xmlns:c16="http://schemas.microsoft.com/office/drawing/2014/chart" uri="{C3380CC4-5D6E-409C-BE32-E72D297353CC}">
              <c16:uniqueId val="{00000003-9F47-4BAD-8F48-6A4BB1EEE297}"/>
            </c:ext>
          </c:extLst>
        </c:ser>
        <c:dLbls>
          <c:showLegendKey val="0"/>
          <c:showVal val="0"/>
          <c:showCatName val="0"/>
          <c:showSerName val="0"/>
          <c:showPercent val="1"/>
          <c:showBubbleSize val="0"/>
          <c:showLeaderLines val="1"/>
        </c:dLbls>
        <c:firstSliceAng val="0"/>
      </c:pieChart>
    </c:plotArea>
    <c:plotVisOnly val="1"/>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Budget by Customer Class </a:t>
            </a:r>
          </a:p>
        </c:rich>
      </c:tx>
      <c:layout>
        <c:manualLayout>
          <c:xMode val="edge"/>
          <c:yMode val="edge"/>
          <c:x val="0.2437536860858141"/>
          <c:y val="2.2576352959057695E-2"/>
        </c:manualLayout>
      </c:layout>
      <c:overlay val="0"/>
    </c:title>
    <c:autoTitleDeleted val="0"/>
    <c:plotArea>
      <c:layout/>
      <c:pieChart>
        <c:varyColors val="1"/>
        <c:ser>
          <c:idx val="0"/>
          <c:order val="0"/>
          <c:dPt>
            <c:idx val="0"/>
            <c:bubble3D val="0"/>
            <c:explosion val="5"/>
            <c:spPr>
              <a:solidFill>
                <a:schemeClr val="accent1"/>
              </a:solidFill>
            </c:spPr>
            <c:extLst>
              <c:ext xmlns:c16="http://schemas.microsoft.com/office/drawing/2014/chart" uri="{C3380CC4-5D6E-409C-BE32-E72D297353CC}">
                <c16:uniqueId val="{00000001-A549-4D2B-A3EE-5CADF0986F1D}"/>
              </c:ext>
            </c:extLst>
          </c:dPt>
          <c:dPt>
            <c:idx val="1"/>
            <c:bubble3D val="0"/>
            <c:explosion val="3"/>
            <c:spPr>
              <a:solidFill>
                <a:schemeClr val="tx2"/>
              </a:solidFill>
            </c:spPr>
            <c:extLst>
              <c:ext xmlns:c16="http://schemas.microsoft.com/office/drawing/2014/chart" uri="{C3380CC4-5D6E-409C-BE32-E72D297353CC}">
                <c16:uniqueId val="{00000003-A549-4D2B-A3EE-5CADF0986F1D}"/>
              </c:ext>
            </c:extLst>
          </c:dPt>
          <c:dPt>
            <c:idx val="2"/>
            <c:bubble3D val="0"/>
            <c:spPr>
              <a:solidFill>
                <a:schemeClr val="accent6">
                  <a:lumMod val="75000"/>
                </a:schemeClr>
              </a:solidFill>
            </c:spPr>
            <c:extLst>
              <c:ext xmlns:c16="http://schemas.microsoft.com/office/drawing/2014/chart" uri="{C3380CC4-5D6E-409C-BE32-E72D297353CC}">
                <c16:uniqueId val="{00000005-A549-4D2B-A3EE-5CADF0986F1D}"/>
              </c:ext>
            </c:extLst>
          </c:dPt>
          <c:dLbls>
            <c:dLbl>
              <c:idx val="0"/>
              <c:layout>
                <c:manualLayout>
                  <c:x val="6.2911163806602929E-2"/>
                  <c:y val="0.1310136575084298"/>
                </c:manualLayout>
              </c:layout>
              <c:tx>
                <c:rich>
                  <a:bodyPr wrap="square" lIns="38100" tIns="19050" rIns="38100" bIns="19050" anchor="ctr">
                    <a:spAutoFit/>
                  </a:bodyPr>
                  <a:lstStyle/>
                  <a:p>
                    <a:pPr>
                      <a:defRPr sz="1200" b="0" i="0" baseline="0">
                        <a:latin typeface="Arial" panose="020B0604020202020204" pitchFamily="34" charset="0"/>
                        <a:cs typeface="Arial" panose="020B0604020202020204" pitchFamily="34" charset="0"/>
                      </a:defRPr>
                    </a:pPr>
                    <a:r>
                      <a:rPr lang="en-US" sz="1200" b="0" i="0" baseline="0"/>
                      <a:t>Res. Income- Eligible</a:t>
                    </a:r>
                  </a:p>
                  <a:p>
                    <a:pPr>
                      <a:defRPr sz="1200" b="0" i="0" baseline="0">
                        <a:latin typeface="Arial" panose="020B0604020202020204" pitchFamily="34" charset="0"/>
                        <a:cs typeface="Arial" panose="020B0604020202020204" pitchFamily="34" charset="0"/>
                      </a:defRPr>
                    </a:pPr>
                    <a:r>
                      <a:rPr lang="en-US" sz="1200" b="0" i="0" baseline="0"/>
                      <a:t> 22.72%</a:t>
                    </a:r>
                  </a:p>
                </c:rich>
              </c:tx>
              <c:numFmt formatCode="0.00%" sourceLinked="0"/>
              <c:spPr>
                <a:noFill/>
                <a:ln>
                  <a:noFill/>
                </a:ln>
                <a:effectLst/>
              </c:spPr>
              <c:dLblPos val="bestFit"/>
              <c:showLegendKey val="0"/>
              <c:showVal val="0"/>
              <c:showCatName val="1"/>
              <c:showSerName val="0"/>
              <c:showPercent val="1"/>
              <c:showBubbleSize val="0"/>
              <c:separator>, </c:separator>
              <c:extLst>
                <c:ext xmlns:c15="http://schemas.microsoft.com/office/drawing/2012/chart" uri="{CE6537A1-D6FC-4f65-9D91-7224C49458BB}">
                  <c15:showDataLabelsRange val="1"/>
                </c:ext>
                <c:ext xmlns:c16="http://schemas.microsoft.com/office/drawing/2014/chart" uri="{C3380CC4-5D6E-409C-BE32-E72D297353CC}">
                  <c16:uniqueId val="{00000001-A549-4D2B-A3EE-5CADF0986F1D}"/>
                </c:ext>
              </c:extLst>
            </c:dLbl>
            <c:dLbl>
              <c:idx val="1"/>
              <c:layout>
                <c:manualLayout>
                  <c:x val="0.14218427785257284"/>
                  <c:y val="-6.3558951686900941E-2"/>
                </c:manualLayout>
              </c:layout>
              <c:tx>
                <c:rich>
                  <a:bodyPr/>
                  <a:lstStyle/>
                  <a:p>
                    <a:r>
                      <a:rPr lang="en-US"/>
                      <a:t>Res. Non Income- Eligible</a:t>
                    </a:r>
                    <a:r>
                      <a:rPr lang="en-US" baseline="0"/>
                      <a:t> 40.66</a:t>
                    </a:r>
                    <a:r>
                      <a:rPr lang="en-US"/>
                      <a:t>%</a:t>
                    </a:r>
                  </a:p>
                </c:rich>
              </c:tx>
              <c:dLblPos val="bestFit"/>
              <c:showLegendKey val="0"/>
              <c:showVal val="0"/>
              <c:showCatName val="1"/>
              <c:showSerName val="0"/>
              <c:showPercent val="1"/>
              <c:showBubbleSize val="0"/>
              <c:separator>, </c:separator>
              <c:extLst>
                <c:ext xmlns:c15="http://schemas.microsoft.com/office/drawing/2012/chart" uri="{CE6537A1-D6FC-4f65-9D91-7224C49458BB}">
                  <c15:showDataLabelsRange val="1"/>
                </c:ext>
                <c:ext xmlns:c16="http://schemas.microsoft.com/office/drawing/2014/chart" uri="{C3380CC4-5D6E-409C-BE32-E72D297353CC}">
                  <c16:uniqueId val="{00000003-A549-4D2B-A3EE-5CADF0986F1D}"/>
                </c:ext>
              </c:extLst>
            </c:dLbl>
            <c:dLbl>
              <c:idx val="2"/>
              <c:layout>
                <c:manualLayout>
                  <c:x val="-8.8771114916394601E-3"/>
                  <c:y val="-1.6570806049870039E-2"/>
                </c:manualLayout>
              </c:layout>
              <c:tx>
                <c:rich>
                  <a:bodyPr/>
                  <a:lstStyle/>
                  <a:p>
                    <a:r>
                      <a:rPr lang="en-US"/>
                      <a:t>Commercial and Industrial 36.62%</a:t>
                    </a:r>
                  </a:p>
                </c:rich>
              </c:tx>
              <c:dLblPos val="bestFit"/>
              <c:showLegendKey val="0"/>
              <c:showVal val="0"/>
              <c:showCatName val="1"/>
              <c:showSerName val="0"/>
              <c:showPercent val="1"/>
              <c:showBubbleSize val="0"/>
              <c:separator>, </c:separator>
              <c:extLst>
                <c:ext xmlns:c15="http://schemas.microsoft.com/office/drawing/2012/chart" uri="{CE6537A1-D6FC-4f65-9D91-7224C49458BB}">
                  <c15:showDataLabelsRange val="1"/>
                </c:ext>
                <c:ext xmlns:c16="http://schemas.microsoft.com/office/drawing/2014/chart" uri="{C3380CC4-5D6E-409C-BE32-E72D297353CC}">
                  <c16:uniqueId val="{00000005-A549-4D2B-A3EE-5CADF0986F1D}"/>
                </c:ext>
              </c:extLst>
            </c:dLbl>
            <c:numFmt formatCode="0.00%" sourceLinked="0"/>
            <c:spPr>
              <a:noFill/>
              <a:ln>
                <a:noFill/>
              </a:ln>
              <a:effectLst/>
            </c:spPr>
            <c:txPr>
              <a:bodyPr wrap="square" lIns="38100" tIns="19050" rIns="38100" bIns="19050" anchor="ctr">
                <a:spAutoFit/>
              </a:bodyPr>
              <a:lstStyle/>
              <a:p>
                <a:pPr>
                  <a:defRPr sz="1200" b="0" baseline="0">
                    <a:latin typeface="Arial" panose="020B0604020202020204" pitchFamily="34" charset="0"/>
                    <a:cs typeface="Arial" panose="020B0604020202020204" pitchFamily="34" charset="0"/>
                  </a:defRPr>
                </a:pPr>
                <a:endParaRPr lang="en-US"/>
              </a:p>
            </c:txPr>
            <c:dLblPos val="outEnd"/>
            <c:showLegendKey val="0"/>
            <c:showVal val="0"/>
            <c:showCatName val="1"/>
            <c:showSerName val="0"/>
            <c:showPercent val="1"/>
            <c:showBubbleSize val="0"/>
            <c:separator>, </c:separator>
            <c:showLeaderLines val="1"/>
            <c:extLst>
              <c:ext xmlns:c15="http://schemas.microsoft.com/office/drawing/2012/chart" uri="{CE6537A1-D6FC-4f65-9D91-7224C49458BB}">
                <c15:showDataLabelsRange val="1"/>
              </c:ext>
            </c:extLst>
          </c:dLbls>
          <c:cat>
            <c:strRef>
              <c:f>('[14]2024 Joint Table A1 Pies - Gas'!$B$30:$B$31,'[14]2024 Joint Table A1 Pies - Gas'!$B$34)</c:f>
              <c:strCache>
                <c:ptCount val="3"/>
                <c:pt idx="0">
                  <c:v>Res. Income-Eligible</c:v>
                </c:pt>
                <c:pt idx="1">
                  <c:v>Res. Non Income-Eligible</c:v>
                </c:pt>
                <c:pt idx="2">
                  <c:v>Commercial and Industrial</c:v>
                </c:pt>
              </c:strCache>
            </c:strRef>
          </c:cat>
          <c:val>
            <c:numRef>
              <c:f>('[14]2024 Joint Table A1 Pies - Gas'!$F$30:$F$31,'[14]2024 Joint Table A1 Pies - Gas'!$F$34)</c:f>
              <c:numCache>
                <c:formatCode>General</c:formatCode>
                <c:ptCount val="3"/>
                <c:pt idx="0">
                  <c:v>0.23973996640560333</c:v>
                </c:pt>
                <c:pt idx="1">
                  <c:v>0.39372621490541765</c:v>
                </c:pt>
                <c:pt idx="2">
                  <c:v>0.36653381868897894</c:v>
                </c:pt>
              </c:numCache>
            </c:numRef>
          </c:val>
          <c:extLst>
            <c:ext xmlns:c15="http://schemas.microsoft.com/office/drawing/2012/chart" uri="{02D57815-91ED-43cb-92C2-25804820EDAC}">
              <c15:datalabelsRange>
                <c15:f>'[14]2024 Joint Table A1 Pies - Gas'!$F$34</c15:f>
                <c15:dlblRangeCache>
                  <c:ptCount val="1"/>
                  <c:pt idx="0">
                    <c:v>0.366533819</c:v>
                  </c:pt>
                </c15:dlblRangeCache>
              </c15:datalabelsRange>
            </c:ext>
            <c:ext xmlns:c16="http://schemas.microsoft.com/office/drawing/2014/chart" uri="{C3380CC4-5D6E-409C-BE32-E72D297353CC}">
              <c16:uniqueId val="{00000006-A549-4D2B-A3EE-5CADF0986F1D}"/>
            </c:ext>
          </c:extLst>
        </c:ser>
        <c:dLbls>
          <c:showLegendKey val="0"/>
          <c:showVal val="0"/>
          <c:showCatName val="0"/>
          <c:showSerName val="0"/>
          <c:showPercent val="1"/>
          <c:showBubbleSize val="0"/>
          <c:showLeaderLines val="1"/>
        </c:dLbls>
        <c:firstSliceAng val="0"/>
      </c:pieChart>
    </c:plotArea>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Revenue by Customer Class </a:t>
            </a:r>
          </a:p>
        </c:rich>
      </c:tx>
      <c:layout>
        <c:manualLayout>
          <c:xMode val="edge"/>
          <c:yMode val="edge"/>
          <c:x val="0.2437536860858141"/>
          <c:y val="2.2576352959057695E-2"/>
        </c:manualLayout>
      </c:layout>
      <c:overlay val="0"/>
    </c:title>
    <c:autoTitleDeleted val="0"/>
    <c:plotArea>
      <c:layout>
        <c:manualLayout>
          <c:layoutTarget val="inner"/>
          <c:xMode val="edge"/>
          <c:yMode val="edge"/>
          <c:x val="0.25277275001321903"/>
          <c:y val="0.18305422502224303"/>
          <c:w val="0.51769971975579299"/>
          <c:h val="0.75420484573862445"/>
        </c:manualLayout>
      </c:layout>
      <c:pieChart>
        <c:varyColors val="1"/>
        <c:ser>
          <c:idx val="0"/>
          <c:order val="0"/>
          <c:dPt>
            <c:idx val="0"/>
            <c:bubble3D val="0"/>
            <c:explosion val="6"/>
            <c:spPr>
              <a:solidFill>
                <a:schemeClr val="accent1"/>
              </a:solidFill>
            </c:spPr>
            <c:extLst>
              <c:ext xmlns:c16="http://schemas.microsoft.com/office/drawing/2014/chart" uri="{C3380CC4-5D6E-409C-BE32-E72D297353CC}">
                <c16:uniqueId val="{00000001-EDDC-4999-B203-45A9645F8D9D}"/>
              </c:ext>
            </c:extLst>
          </c:dPt>
          <c:dPt>
            <c:idx val="1"/>
            <c:bubble3D val="0"/>
            <c:explosion val="6"/>
            <c:spPr>
              <a:solidFill>
                <a:schemeClr val="tx2"/>
              </a:solidFill>
            </c:spPr>
            <c:extLst>
              <c:ext xmlns:c16="http://schemas.microsoft.com/office/drawing/2014/chart" uri="{C3380CC4-5D6E-409C-BE32-E72D297353CC}">
                <c16:uniqueId val="{00000003-EDDC-4999-B203-45A9645F8D9D}"/>
              </c:ext>
            </c:extLst>
          </c:dPt>
          <c:dPt>
            <c:idx val="2"/>
            <c:bubble3D val="0"/>
            <c:spPr>
              <a:solidFill>
                <a:schemeClr val="accent6">
                  <a:lumMod val="75000"/>
                </a:schemeClr>
              </a:solidFill>
            </c:spPr>
            <c:extLst>
              <c:ext xmlns:c16="http://schemas.microsoft.com/office/drawing/2014/chart" uri="{C3380CC4-5D6E-409C-BE32-E72D297353CC}">
                <c16:uniqueId val="{00000005-EDDC-4999-B203-45A9645F8D9D}"/>
              </c:ext>
            </c:extLst>
          </c:dPt>
          <c:dLbls>
            <c:dLbl>
              <c:idx val="0"/>
              <c:layout>
                <c:manualLayout>
                  <c:x val="0.10165319677698825"/>
                  <c:y val="0.12725093201525356"/>
                </c:manualLayout>
              </c:layout>
              <c:tx>
                <c:rich>
                  <a:bodyPr wrap="square" lIns="38100" tIns="19050" rIns="38100" bIns="19050" anchor="ctr">
                    <a:spAutoFit/>
                  </a:bodyPr>
                  <a:lstStyle/>
                  <a:p>
                    <a:pPr>
                      <a:defRPr sz="1200" b="0" i="0" baseline="0">
                        <a:latin typeface="Arial" panose="020B0604020202020204" pitchFamily="34" charset="0"/>
                        <a:cs typeface="Arial" panose="020B0604020202020204" pitchFamily="34" charset="0"/>
                      </a:defRPr>
                    </a:pPr>
                    <a:r>
                      <a:rPr lang="en-US" sz="1200" b="0" i="0" baseline="0"/>
                      <a:t>Res. Income- Eligible</a:t>
                    </a:r>
                  </a:p>
                  <a:p>
                    <a:pPr>
                      <a:defRPr sz="1200" b="0" i="0" baseline="0">
                        <a:latin typeface="Arial" panose="020B0604020202020204" pitchFamily="34" charset="0"/>
                        <a:cs typeface="Arial" panose="020B0604020202020204" pitchFamily="34" charset="0"/>
                      </a:defRPr>
                    </a:pPr>
                    <a:r>
                      <a:rPr lang="en-US" sz="1200" b="0" i="0" baseline="0"/>
                      <a:t> 13.00%</a:t>
                    </a:r>
                  </a:p>
                </c:rich>
              </c:tx>
              <c:numFmt formatCode="0.00%" sourceLinked="0"/>
              <c:spPr>
                <a:noFill/>
                <a:ln>
                  <a:noFill/>
                </a:ln>
                <a:effectLst/>
              </c:spPr>
              <c:dLblPos val="bestFit"/>
              <c:showLegendKey val="0"/>
              <c:showVal val="0"/>
              <c:showCatName val="1"/>
              <c:showSerName val="0"/>
              <c:showPercent val="1"/>
              <c:showBubbleSize val="0"/>
              <c:separator>, </c:separator>
              <c:extLst>
                <c:ext xmlns:c15="http://schemas.microsoft.com/office/drawing/2012/chart" uri="{CE6537A1-D6FC-4f65-9D91-7224C49458BB}">
                  <c15:showDataLabelsRange val="1"/>
                </c:ext>
                <c:ext xmlns:c16="http://schemas.microsoft.com/office/drawing/2014/chart" uri="{C3380CC4-5D6E-409C-BE32-E72D297353CC}">
                  <c16:uniqueId val="{00000001-EDDC-4999-B203-45A9645F8D9D}"/>
                </c:ext>
              </c:extLst>
            </c:dLbl>
            <c:dLbl>
              <c:idx val="1"/>
              <c:layout>
                <c:manualLayout>
                  <c:x val="4.2837909841899969E-3"/>
                  <c:y val="4.9322813108387528E-2"/>
                </c:manualLayout>
              </c:layout>
              <c:tx>
                <c:rich>
                  <a:bodyPr/>
                  <a:lstStyle/>
                  <a:p>
                    <a:r>
                      <a:rPr lang="en-US"/>
                      <a:t>Res. Non Income- Eligible</a:t>
                    </a:r>
                    <a:r>
                      <a:rPr lang="en-US" baseline="0"/>
                      <a:t> 31.06</a:t>
                    </a:r>
                    <a:r>
                      <a:rPr lang="en-US"/>
                      <a:t>%</a:t>
                    </a:r>
                  </a:p>
                </c:rich>
              </c:tx>
              <c:dLblPos val="bestFit"/>
              <c:showLegendKey val="0"/>
              <c:showVal val="0"/>
              <c:showCatName val="1"/>
              <c:showSerName val="0"/>
              <c:showPercent val="1"/>
              <c:showBubbleSize val="0"/>
              <c:separator>, </c:separator>
              <c:extLst>
                <c:ext xmlns:c15="http://schemas.microsoft.com/office/drawing/2012/chart" uri="{CE6537A1-D6FC-4f65-9D91-7224C49458BB}">
                  <c15:showDataLabelsRange val="1"/>
                </c:ext>
                <c:ext xmlns:c16="http://schemas.microsoft.com/office/drawing/2014/chart" uri="{C3380CC4-5D6E-409C-BE32-E72D297353CC}">
                  <c16:uniqueId val="{00000003-EDDC-4999-B203-45A9645F8D9D}"/>
                </c:ext>
              </c:extLst>
            </c:dLbl>
            <c:dLbl>
              <c:idx val="2"/>
              <c:layout>
                <c:manualLayout>
                  <c:x val="-4.7619144462024671E-2"/>
                  <c:y val="-0.26114796310632848"/>
                </c:manualLayout>
              </c:layout>
              <c:tx>
                <c:rich>
                  <a:bodyPr/>
                  <a:lstStyle/>
                  <a:p>
                    <a:r>
                      <a:rPr lang="en-US"/>
                      <a:t>Commercial and Industrial 55.94%</a:t>
                    </a:r>
                  </a:p>
                </c:rich>
              </c:tx>
              <c:dLblPos val="bestFit"/>
              <c:showLegendKey val="0"/>
              <c:showVal val="0"/>
              <c:showCatName val="1"/>
              <c:showSerName val="0"/>
              <c:showPercent val="1"/>
              <c:showBubbleSize val="0"/>
              <c:separator>, </c:separator>
              <c:extLst>
                <c:ext xmlns:c15="http://schemas.microsoft.com/office/drawing/2012/chart" uri="{CE6537A1-D6FC-4f65-9D91-7224C49458BB}">
                  <c15:showDataLabelsRange val="1"/>
                </c:ext>
                <c:ext xmlns:c16="http://schemas.microsoft.com/office/drawing/2014/chart" uri="{C3380CC4-5D6E-409C-BE32-E72D297353CC}">
                  <c16:uniqueId val="{00000005-EDDC-4999-B203-45A9645F8D9D}"/>
                </c:ext>
              </c:extLst>
            </c:dLbl>
            <c:numFmt formatCode="0.00%" sourceLinked="0"/>
            <c:spPr>
              <a:noFill/>
              <a:ln>
                <a:noFill/>
              </a:ln>
              <a:effectLst/>
            </c:spPr>
            <c:txPr>
              <a:bodyPr wrap="square" lIns="38100" tIns="19050" rIns="38100" bIns="19050" anchor="ctr">
                <a:spAutoFit/>
              </a:bodyPr>
              <a:lstStyle/>
              <a:p>
                <a:pPr>
                  <a:defRPr sz="1200" b="0" baseline="0">
                    <a:latin typeface="Arial" panose="020B0604020202020204" pitchFamily="34" charset="0"/>
                    <a:cs typeface="Arial" panose="020B0604020202020204" pitchFamily="34" charset="0"/>
                  </a:defRPr>
                </a:pPr>
                <a:endParaRPr lang="en-US"/>
              </a:p>
            </c:txPr>
            <c:dLblPos val="outEnd"/>
            <c:showLegendKey val="0"/>
            <c:showVal val="0"/>
            <c:showCatName val="1"/>
            <c:showSerName val="0"/>
            <c:showPercent val="1"/>
            <c:showBubbleSize val="0"/>
            <c:separator>, </c:separator>
            <c:showLeaderLines val="1"/>
            <c:extLst>
              <c:ext xmlns:c15="http://schemas.microsoft.com/office/drawing/2012/chart" uri="{CE6537A1-D6FC-4f65-9D91-7224C49458BB}">
                <c15:showDataLabelsRange val="1"/>
              </c:ext>
            </c:extLst>
          </c:dLbls>
          <c:cat>
            <c:strRef>
              <c:f>('[14]2024 Joint Table A1 Pies - Gas'!$B$30:$B$31,'[14]2024 Joint Table A1 Pies - Gas'!$B$34)</c:f>
              <c:strCache>
                <c:ptCount val="3"/>
                <c:pt idx="0">
                  <c:v>Res. Income-Eligible</c:v>
                </c:pt>
                <c:pt idx="1">
                  <c:v>Res. Non Income-Eligible</c:v>
                </c:pt>
                <c:pt idx="2">
                  <c:v>Commercial and Industrial</c:v>
                </c:pt>
              </c:strCache>
            </c:strRef>
          </c:cat>
          <c:val>
            <c:numRef>
              <c:f>('[14]2024 Joint Table A1 Pies - Gas'!$G$30:$G$31,'[14]2024 Joint Table A1 Pies - Gas'!$G$34)</c:f>
              <c:numCache>
                <c:formatCode>General</c:formatCode>
                <c:ptCount val="3"/>
                <c:pt idx="0">
                  <c:v>0.12428739999999999</c:v>
                </c:pt>
                <c:pt idx="1">
                  <c:v>0.34118231999999998</c:v>
                </c:pt>
                <c:pt idx="2">
                  <c:v>0.53453028000000002</c:v>
                </c:pt>
              </c:numCache>
            </c:numRef>
          </c:val>
          <c:extLst>
            <c:ext xmlns:c15="http://schemas.microsoft.com/office/drawing/2012/chart" uri="{02D57815-91ED-43cb-92C2-25804820EDAC}">
              <c15:datalabelsRange>
                <c15:f>'[14]2024 Joint Table A1 Pies - Gas'!$G$30</c15:f>
                <c15:dlblRangeCache>
                  <c:ptCount val="1"/>
                  <c:pt idx="0">
                    <c:v>0.1242874</c:v>
                  </c:pt>
                </c15:dlblRangeCache>
              </c15:datalabelsRange>
            </c:ext>
            <c:ext xmlns:c16="http://schemas.microsoft.com/office/drawing/2014/chart" uri="{C3380CC4-5D6E-409C-BE32-E72D297353CC}">
              <c16:uniqueId val="{00000006-EDDC-4999-B203-45A9645F8D9D}"/>
            </c:ext>
          </c:extLst>
        </c:ser>
        <c:dLbls>
          <c:showLegendKey val="0"/>
          <c:showVal val="0"/>
          <c:showCatName val="0"/>
          <c:showSerName val="0"/>
          <c:showPercent val="1"/>
          <c:showBubbleSize val="0"/>
          <c:showLeaderLines val="1"/>
        </c:dLbls>
        <c:firstSliceAng val="0"/>
      </c:pieChart>
    </c:plotArea>
    <c:plotVisOnly val="1"/>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Budget by Customer Class </a:t>
            </a:r>
          </a:p>
        </c:rich>
      </c:tx>
      <c:layout>
        <c:manualLayout>
          <c:xMode val="edge"/>
          <c:yMode val="edge"/>
          <c:x val="0.2437536860858141"/>
          <c:y val="1.1288176479528848E-2"/>
        </c:manualLayout>
      </c:layout>
      <c:overlay val="0"/>
    </c:title>
    <c:autoTitleDeleted val="0"/>
    <c:plotArea>
      <c:layout>
        <c:manualLayout>
          <c:layoutTarget val="inner"/>
          <c:xMode val="edge"/>
          <c:yMode val="edge"/>
          <c:x val="0.23985873902309066"/>
          <c:y val="0.10779971515871739"/>
          <c:w val="0.5900181813005122"/>
          <c:h val="0.85956115954756052"/>
        </c:manualLayout>
      </c:layout>
      <c:pieChart>
        <c:varyColors val="1"/>
        <c:ser>
          <c:idx val="0"/>
          <c:order val="0"/>
          <c:dPt>
            <c:idx val="0"/>
            <c:bubble3D val="0"/>
            <c:explosion val="3"/>
            <c:extLst>
              <c:ext xmlns:c16="http://schemas.microsoft.com/office/drawing/2014/chart" uri="{C3380CC4-5D6E-409C-BE32-E72D297353CC}">
                <c16:uniqueId val="{00000001-8081-4E42-B212-A81E9EEC62EE}"/>
              </c:ext>
            </c:extLst>
          </c:dPt>
          <c:dPt>
            <c:idx val="1"/>
            <c:bubble3D val="0"/>
            <c:explosion val="3"/>
            <c:spPr>
              <a:solidFill>
                <a:schemeClr val="tx2"/>
              </a:solidFill>
            </c:spPr>
            <c:extLst>
              <c:ext xmlns:c16="http://schemas.microsoft.com/office/drawing/2014/chart" uri="{C3380CC4-5D6E-409C-BE32-E72D297353CC}">
                <c16:uniqueId val="{00000003-8081-4E42-B212-A81E9EEC62EE}"/>
              </c:ext>
            </c:extLst>
          </c:dPt>
          <c:dPt>
            <c:idx val="2"/>
            <c:bubble3D val="0"/>
            <c:spPr>
              <a:solidFill>
                <a:schemeClr val="accent6">
                  <a:lumMod val="50000"/>
                </a:schemeClr>
              </a:solidFill>
            </c:spPr>
            <c:extLst>
              <c:ext xmlns:c16="http://schemas.microsoft.com/office/drawing/2014/chart" uri="{C3380CC4-5D6E-409C-BE32-E72D297353CC}">
                <c16:uniqueId val="{00000005-8081-4E42-B212-A81E9EEC62EE}"/>
              </c:ext>
            </c:extLst>
          </c:dPt>
          <c:dPt>
            <c:idx val="3"/>
            <c:bubble3D val="0"/>
            <c:spPr>
              <a:solidFill>
                <a:schemeClr val="accent6">
                  <a:lumMod val="75000"/>
                </a:schemeClr>
              </a:solidFill>
            </c:spPr>
            <c:extLst>
              <c:ext xmlns:c16="http://schemas.microsoft.com/office/drawing/2014/chart" uri="{C3380CC4-5D6E-409C-BE32-E72D297353CC}">
                <c16:uniqueId val="{00000007-8081-4E42-B212-A81E9EEC62EE}"/>
              </c:ext>
            </c:extLst>
          </c:dPt>
          <c:dPt>
            <c:idx val="4"/>
            <c:bubble3D val="0"/>
            <c:explosion val="3"/>
            <c:spPr>
              <a:solidFill>
                <a:schemeClr val="accent6">
                  <a:lumMod val="60000"/>
                  <a:lumOff val="40000"/>
                </a:schemeClr>
              </a:solidFill>
            </c:spPr>
            <c:extLst>
              <c:ext xmlns:c16="http://schemas.microsoft.com/office/drawing/2014/chart" uri="{C3380CC4-5D6E-409C-BE32-E72D297353CC}">
                <c16:uniqueId val="{00000009-8081-4E42-B212-A81E9EEC62EE}"/>
              </c:ext>
            </c:extLst>
          </c:dPt>
          <c:dPt>
            <c:idx val="5"/>
            <c:bubble3D val="0"/>
            <c:explosion val="1"/>
            <c:spPr>
              <a:solidFill>
                <a:schemeClr val="accent6">
                  <a:lumMod val="40000"/>
                  <a:lumOff val="60000"/>
                </a:schemeClr>
              </a:solidFill>
            </c:spPr>
            <c:extLst>
              <c:ext xmlns:c16="http://schemas.microsoft.com/office/drawing/2014/chart" uri="{C3380CC4-5D6E-409C-BE32-E72D297353CC}">
                <c16:uniqueId val="{0000000B-8081-4E42-B212-A81E9EEC62EE}"/>
              </c:ext>
            </c:extLst>
          </c:dPt>
          <c:dLbls>
            <c:dLbl>
              <c:idx val="0"/>
              <c:tx>
                <c:rich>
                  <a:bodyPr wrap="square" lIns="38100" tIns="19050" rIns="38100" bIns="19050" anchor="ctr">
                    <a:spAutoFit/>
                  </a:bodyPr>
                  <a:lstStyle/>
                  <a:p>
                    <a:pPr>
                      <a:defRPr sz="1200" b="1" i="0" baseline="0">
                        <a:solidFill>
                          <a:schemeClr val="bg1"/>
                        </a:solidFill>
                        <a:latin typeface="Arial" panose="020B0604020202020204" pitchFamily="34" charset="0"/>
                        <a:cs typeface="Arial" panose="020B0604020202020204" pitchFamily="34" charset="0"/>
                      </a:defRPr>
                    </a:pPr>
                    <a:r>
                      <a:rPr lang="en-US" sz="1200" b="1" i="0" baseline="0">
                        <a:solidFill>
                          <a:schemeClr val="bg1"/>
                        </a:solidFill>
                      </a:rPr>
                      <a:t>Res. Income- Eligible,</a:t>
                    </a:r>
                  </a:p>
                  <a:p>
                    <a:pPr>
                      <a:defRPr sz="1200" b="1" i="0" baseline="0">
                        <a:solidFill>
                          <a:schemeClr val="bg1"/>
                        </a:solidFill>
                        <a:latin typeface="Arial" panose="020B0604020202020204" pitchFamily="34" charset="0"/>
                        <a:cs typeface="Arial" panose="020B0604020202020204" pitchFamily="34" charset="0"/>
                      </a:defRPr>
                    </a:pPr>
                    <a:r>
                      <a:rPr lang="en-US" sz="1200" b="1" i="0" baseline="0">
                        <a:solidFill>
                          <a:schemeClr val="bg1"/>
                        </a:solidFill>
                      </a:rPr>
                      <a:t> 24%</a:t>
                    </a:r>
                  </a:p>
                </c:rich>
              </c:tx>
              <c:numFmt formatCode="0.00%" sourceLinked="0"/>
              <c:spPr>
                <a:noFill/>
                <a:ln>
                  <a:noFill/>
                </a:ln>
                <a:effectLst/>
              </c:spPr>
              <c:dLblPos val="inEnd"/>
              <c:showLegendKey val="0"/>
              <c:showVal val="0"/>
              <c:showCatName val="1"/>
              <c:showSerName val="0"/>
              <c:showPercent val="1"/>
              <c:showBubbleSize val="0"/>
              <c:separator>, </c:separator>
              <c:extLst>
                <c:ext xmlns:c15="http://schemas.microsoft.com/office/drawing/2012/chart" uri="{CE6537A1-D6FC-4f65-9D91-7224C49458BB}">
                  <c15:showDataLabelsRange val="1"/>
                </c:ext>
                <c:ext xmlns:c16="http://schemas.microsoft.com/office/drawing/2014/chart" uri="{C3380CC4-5D6E-409C-BE32-E72D297353CC}">
                  <c16:uniqueId val="{00000001-8081-4E42-B212-A81E9EEC62EE}"/>
                </c:ext>
              </c:extLst>
            </c:dLbl>
            <c:dLbl>
              <c:idx val="1"/>
              <c:layout>
                <c:manualLayout>
                  <c:x val="-0.14431183337225029"/>
                  <c:y val="-0.1394357970441637"/>
                </c:manualLayout>
              </c:layout>
              <c:tx>
                <c:rich>
                  <a:bodyPr/>
                  <a:lstStyle/>
                  <a:p>
                    <a:r>
                      <a:rPr lang="en-US"/>
                      <a:t>Res. Non Income- Eligible,</a:t>
                    </a:r>
                  </a:p>
                  <a:p>
                    <a:r>
                      <a:rPr lang="en-US" baseline="0"/>
                      <a:t> 39</a:t>
                    </a:r>
                    <a:r>
                      <a:rPr lang="en-US"/>
                      <a:t>%</a:t>
                    </a:r>
                  </a:p>
                </c:rich>
              </c:tx>
              <c:dLblPos val="bestFit"/>
              <c:showLegendKey val="0"/>
              <c:showVal val="0"/>
              <c:showCatName val="1"/>
              <c:showSerName val="0"/>
              <c:showPercent val="1"/>
              <c:showBubbleSize val="0"/>
              <c:separator>, </c:separator>
              <c:extLst>
                <c:ext xmlns:c15="http://schemas.microsoft.com/office/drawing/2012/chart" uri="{CE6537A1-D6FC-4f65-9D91-7224C49458BB}">
                  <c15:showDataLabelsRange val="1"/>
                </c:ext>
                <c:ext xmlns:c16="http://schemas.microsoft.com/office/drawing/2014/chart" uri="{C3380CC4-5D6E-409C-BE32-E72D297353CC}">
                  <c16:uniqueId val="{00000003-8081-4E42-B212-A81E9EEC62EE}"/>
                </c:ext>
              </c:extLst>
            </c:dLbl>
            <c:dLbl>
              <c:idx val="2"/>
              <c:tx>
                <c:rich>
                  <a:bodyPr/>
                  <a:lstStyle/>
                  <a:p>
                    <a:fld id="{26D5CFD9-9751-41DA-A6E0-E780C3B4D2E3}" type="CATEGORYNAME">
                      <a:rPr lang="en-US"/>
                      <a:pPr/>
                      <a:t>[CATEGORY NAME]</a:t>
                    </a:fld>
                    <a:r>
                      <a:rPr lang="en-US" baseline="0"/>
                      <a:t>,</a:t>
                    </a:r>
                  </a:p>
                  <a:p>
                    <a:r>
                      <a:rPr lang="en-US" baseline="0"/>
                      <a:t> 9%</a:t>
                    </a:r>
                  </a:p>
                </c:rich>
              </c:tx>
              <c:dLblPos val="inEnd"/>
              <c:showLegendKey val="0"/>
              <c:showVal val="0"/>
              <c:showCatName val="1"/>
              <c:showSerName val="0"/>
              <c:showPercent val="1"/>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5-8081-4E42-B212-A81E9EEC62EE}"/>
                </c:ext>
              </c:extLst>
            </c:dLbl>
            <c:dLbl>
              <c:idx val="3"/>
              <c:tx>
                <c:rich>
                  <a:bodyPr/>
                  <a:lstStyle/>
                  <a:p>
                    <a:fld id="{88D6C567-5018-4881-B47B-FA843CBECD5D}" type="CATEGORYNAME">
                      <a:rPr lang="en-US"/>
                      <a:pPr/>
                      <a:t>[CATEGORY NAME]</a:t>
                    </a:fld>
                    <a:r>
                      <a:rPr lang="en-US" baseline="0"/>
                      <a:t>,</a:t>
                    </a:r>
                  </a:p>
                  <a:p>
                    <a:r>
                      <a:rPr lang="en-US" baseline="0"/>
                      <a:t> 9%</a:t>
                    </a:r>
                  </a:p>
                </c:rich>
              </c:tx>
              <c:dLblPos val="inEnd"/>
              <c:showLegendKey val="0"/>
              <c:showVal val="0"/>
              <c:showCatName val="1"/>
              <c:showSerName val="0"/>
              <c:showPercent val="1"/>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7-8081-4E42-B212-A81E9EEC62EE}"/>
                </c:ext>
              </c:extLst>
            </c:dLbl>
            <c:dLbl>
              <c:idx val="4"/>
              <c:tx>
                <c:rich>
                  <a:bodyPr wrap="square" lIns="38100" tIns="19050" rIns="38100" bIns="19050" anchor="ctr">
                    <a:spAutoFit/>
                  </a:bodyPr>
                  <a:lstStyle/>
                  <a:p>
                    <a:pPr>
                      <a:defRPr sz="1200" b="1" baseline="0">
                        <a:solidFill>
                          <a:sysClr val="windowText" lastClr="000000"/>
                        </a:solidFill>
                        <a:latin typeface="Arial" panose="020B0604020202020204" pitchFamily="34" charset="0"/>
                        <a:cs typeface="Arial" panose="020B0604020202020204" pitchFamily="34" charset="0"/>
                      </a:defRPr>
                    </a:pPr>
                    <a:fld id="{03B721DD-5B9B-40A3-87CB-74010D94551E}" type="CATEGORYNAME">
                      <a:rPr lang="en-US"/>
                      <a:pPr>
                        <a:defRPr sz="1200" b="1" baseline="0">
                          <a:solidFill>
                            <a:sysClr val="windowText" lastClr="000000"/>
                          </a:solidFill>
                          <a:latin typeface="Arial" panose="020B0604020202020204" pitchFamily="34" charset="0"/>
                          <a:cs typeface="Arial" panose="020B0604020202020204" pitchFamily="34" charset="0"/>
                        </a:defRPr>
                      </a:pPr>
                      <a:t>[CATEGORY NAME]</a:t>
                    </a:fld>
                    <a:r>
                      <a:rPr lang="en-US" baseline="0"/>
                      <a:t>,</a:t>
                    </a:r>
                  </a:p>
                  <a:p>
                    <a:pPr>
                      <a:defRPr sz="1200" b="1" baseline="0">
                        <a:solidFill>
                          <a:sysClr val="windowText" lastClr="000000"/>
                        </a:solidFill>
                        <a:latin typeface="Arial" panose="020B0604020202020204" pitchFamily="34" charset="0"/>
                        <a:cs typeface="Arial" panose="020B0604020202020204" pitchFamily="34" charset="0"/>
                      </a:defRPr>
                    </a:pPr>
                    <a:r>
                      <a:rPr lang="en-US" baseline="0"/>
                      <a:t> </a:t>
                    </a:r>
                    <a:fld id="{DA5D9BE9-C6B9-4921-9EB4-C5B761AF80A4}" type="VALUE">
                      <a:rPr lang="en-US" baseline="0"/>
                      <a:pPr>
                        <a:defRPr sz="1200" b="1" baseline="0">
                          <a:solidFill>
                            <a:sysClr val="windowText" lastClr="000000"/>
                          </a:solidFill>
                          <a:latin typeface="Arial" panose="020B0604020202020204" pitchFamily="34" charset="0"/>
                          <a:cs typeface="Arial" panose="020B0604020202020204" pitchFamily="34" charset="0"/>
                        </a:defRPr>
                      </a:pPr>
                      <a:t>[VALUE]</a:t>
                    </a:fld>
                    <a:endParaRPr lang="en-US" baseline="0"/>
                  </a:p>
                </c:rich>
              </c:tx>
              <c:numFmt formatCode="0.00%" sourceLinked="0"/>
              <c:spPr>
                <a:noFill/>
                <a:ln>
                  <a:noFill/>
                </a:ln>
                <a:effectLst/>
              </c:spPr>
              <c:dLblPos val="inEnd"/>
              <c:showLegendKey val="0"/>
              <c:showVal val="0"/>
              <c:showCatName val="1"/>
              <c:showSerName val="0"/>
              <c:showPercent val="1"/>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9-8081-4E42-B212-A81E9EEC62EE}"/>
                </c:ext>
              </c:extLst>
            </c:dLbl>
            <c:dLbl>
              <c:idx val="5"/>
              <c:layout>
                <c:manualLayout>
                  <c:x val="7.3137844217372294E-2"/>
                  <c:y val="0.15378117165453511"/>
                </c:manualLayout>
              </c:layout>
              <c:tx>
                <c:rich>
                  <a:bodyPr/>
                  <a:lstStyle/>
                  <a:p>
                    <a:fld id="{BF24C1F9-089F-4061-84A5-F7322E3A8B24}" type="CATEGORYNAME">
                      <a:rPr lang="en-US">
                        <a:solidFill>
                          <a:sysClr val="windowText" lastClr="000000"/>
                        </a:solidFill>
                      </a:rPr>
                      <a:pPr/>
                      <a:t>[CATEGORY NAME]</a:t>
                    </a:fld>
                    <a:r>
                      <a:rPr lang="en-US" baseline="0">
                        <a:solidFill>
                          <a:sysClr val="windowText" lastClr="000000"/>
                        </a:solidFill>
                      </a:rPr>
                      <a:t>, </a:t>
                    </a:r>
                  </a:p>
                  <a:p>
                    <a:fld id="{2C144295-08EC-4189-9369-7517CAAB8C17}" type="VALUE">
                      <a:rPr lang="en-US" baseline="0">
                        <a:solidFill>
                          <a:sysClr val="windowText" lastClr="000000"/>
                        </a:solidFill>
                      </a:rPr>
                      <a:pPr/>
                      <a:t>[VALUE]</a:t>
                    </a:fld>
                    <a:endParaRPr lang="en-US"/>
                  </a:p>
                </c:rich>
              </c:tx>
              <c:dLblPos val="bestFit"/>
              <c:showLegendKey val="0"/>
              <c:showVal val="0"/>
              <c:showCatName val="1"/>
              <c:showSerName val="0"/>
              <c:showPercent val="1"/>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B-8081-4E42-B212-A81E9EEC62EE}"/>
                </c:ext>
              </c:extLst>
            </c:dLbl>
            <c:numFmt formatCode="0.00%" sourceLinked="0"/>
            <c:spPr>
              <a:noFill/>
              <a:ln>
                <a:noFill/>
              </a:ln>
              <a:effectLst/>
            </c:spPr>
            <c:txPr>
              <a:bodyPr wrap="square" lIns="38100" tIns="19050" rIns="38100" bIns="19050" anchor="ctr">
                <a:spAutoFit/>
              </a:bodyPr>
              <a:lstStyle/>
              <a:p>
                <a:pPr>
                  <a:defRPr sz="1200" b="1" baseline="0">
                    <a:solidFill>
                      <a:schemeClr val="bg1"/>
                    </a:solidFill>
                    <a:latin typeface="Arial" panose="020B0604020202020204" pitchFamily="34" charset="0"/>
                    <a:cs typeface="Arial" panose="020B0604020202020204" pitchFamily="34" charset="0"/>
                  </a:defRPr>
                </a:pPr>
                <a:endParaRPr lang="en-US"/>
              </a:p>
            </c:txPr>
            <c:dLblPos val="inEnd"/>
            <c:showLegendKey val="0"/>
            <c:showVal val="0"/>
            <c:showCatName val="1"/>
            <c:showSerName val="0"/>
            <c:showPercent val="1"/>
            <c:showBubbleSize val="0"/>
            <c:separator>, </c:separator>
            <c:showLeaderLines val="1"/>
            <c:extLst>
              <c:ext xmlns:c15="http://schemas.microsoft.com/office/drawing/2012/chart" uri="{CE6537A1-D6FC-4f65-9D91-7224C49458BB}">
                <c15:showDataLabelsRange val="1"/>
              </c:ext>
            </c:extLst>
          </c:dLbls>
          <c:cat>
            <c:strRef>
              <c:f>('[14]2024 Joint Table A1 Pies - Gas'!$B$30:$B$31,'[14]2024 Joint Table A1 Pies - Gas'!$B$35:$B$38)</c:f>
              <c:strCache>
                <c:ptCount val="6"/>
                <c:pt idx="0">
                  <c:v>Res. Income-Eligible</c:v>
                </c:pt>
                <c:pt idx="1">
                  <c:v>Res. Non Income-Eligible</c:v>
                </c:pt>
                <c:pt idx="2">
                  <c:v>C&amp;I Q1</c:v>
                </c:pt>
                <c:pt idx="3">
                  <c:v>C&amp;I Q2</c:v>
                </c:pt>
                <c:pt idx="4">
                  <c:v>C&amp;I Q3</c:v>
                </c:pt>
                <c:pt idx="5">
                  <c:v>C&amp;I Q4</c:v>
                </c:pt>
              </c:strCache>
            </c:strRef>
          </c:cat>
          <c:val>
            <c:numRef>
              <c:f>('[14]2024 Joint Table A1 Pies - Gas'!$F$30:$F$31,'[14]2024 Joint Table A1 Pies - Gas'!$F$35:$F$38)</c:f>
              <c:numCache>
                <c:formatCode>General</c:formatCode>
                <c:ptCount val="6"/>
                <c:pt idx="0">
                  <c:v>0.23973996640560333</c:v>
                </c:pt>
                <c:pt idx="1">
                  <c:v>0.39372621490541765</c:v>
                </c:pt>
                <c:pt idx="2">
                  <c:v>9.1633454672244735E-2</c:v>
                </c:pt>
                <c:pt idx="3">
                  <c:v>9.1633454672244735E-2</c:v>
                </c:pt>
                <c:pt idx="4">
                  <c:v>9.1633454672244735E-2</c:v>
                </c:pt>
                <c:pt idx="5">
                  <c:v>9.1633454672244735E-2</c:v>
                </c:pt>
              </c:numCache>
            </c:numRef>
          </c:val>
          <c:extLst>
            <c:ext xmlns:c15="http://schemas.microsoft.com/office/drawing/2012/chart" uri="{02D57815-91ED-43cb-92C2-25804820EDAC}">
              <c15:datalabelsRange>
                <c15:f>'[14]2024 Joint Table A1 Pies - Gas'!$F$34</c15:f>
                <c15:dlblRangeCache>
                  <c:ptCount val="1"/>
                  <c:pt idx="0">
                    <c:v>0.366533819</c:v>
                  </c:pt>
                </c15:dlblRangeCache>
              </c15:datalabelsRange>
            </c:ext>
            <c:ext xmlns:c16="http://schemas.microsoft.com/office/drawing/2014/chart" uri="{C3380CC4-5D6E-409C-BE32-E72D297353CC}">
              <c16:uniqueId val="{0000000C-8081-4E42-B212-A81E9EEC62EE}"/>
            </c:ext>
          </c:extLst>
        </c:ser>
        <c:dLbls>
          <c:showLegendKey val="0"/>
          <c:showVal val="0"/>
          <c:showCatName val="0"/>
          <c:showSerName val="0"/>
          <c:showPercent val="1"/>
          <c:showBubbleSize val="0"/>
          <c:showLeaderLines val="1"/>
        </c:dLbls>
        <c:firstSliceAng val="0"/>
      </c:pieChart>
    </c:plotArea>
    <c:plotVisOnly val="1"/>
    <c:dispBlanksAs val="gap"/>
    <c:showDLblsOverMax val="0"/>
  </c:chart>
  <c:spPr>
    <a:ln>
      <a:solidFill>
        <a:schemeClr val="bg1"/>
      </a:solidFill>
    </a:ln>
  </c:sp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Revenue by Customer Class </a:t>
            </a:r>
          </a:p>
        </c:rich>
      </c:tx>
      <c:layout>
        <c:manualLayout>
          <c:xMode val="edge"/>
          <c:yMode val="edge"/>
          <c:x val="0.2437536860858141"/>
          <c:y val="1.1288176479528848E-2"/>
        </c:manualLayout>
      </c:layout>
      <c:overlay val="0"/>
    </c:title>
    <c:autoTitleDeleted val="0"/>
    <c:plotArea>
      <c:layout>
        <c:manualLayout>
          <c:layoutTarget val="inner"/>
          <c:xMode val="edge"/>
          <c:yMode val="edge"/>
          <c:x val="0.21616325750334539"/>
          <c:y val="0.13554567930702913"/>
          <c:w val="0.61929429106629874"/>
          <c:h val="0.82823555259599624"/>
        </c:manualLayout>
      </c:layout>
      <c:pieChart>
        <c:varyColors val="1"/>
        <c:ser>
          <c:idx val="0"/>
          <c:order val="0"/>
          <c:explosion val="4"/>
          <c:dPt>
            <c:idx val="0"/>
            <c:bubble3D val="0"/>
            <c:spPr>
              <a:solidFill>
                <a:schemeClr val="accent1"/>
              </a:solidFill>
            </c:spPr>
            <c:extLst>
              <c:ext xmlns:c16="http://schemas.microsoft.com/office/drawing/2014/chart" uri="{C3380CC4-5D6E-409C-BE32-E72D297353CC}">
                <c16:uniqueId val="{00000001-3176-45A6-B1B4-A0224E7B2303}"/>
              </c:ext>
            </c:extLst>
          </c:dPt>
          <c:dPt>
            <c:idx val="1"/>
            <c:bubble3D val="0"/>
            <c:spPr>
              <a:solidFill>
                <a:schemeClr val="tx2"/>
              </a:solidFill>
            </c:spPr>
            <c:extLst>
              <c:ext xmlns:c16="http://schemas.microsoft.com/office/drawing/2014/chart" uri="{C3380CC4-5D6E-409C-BE32-E72D297353CC}">
                <c16:uniqueId val="{00000003-3176-45A6-B1B4-A0224E7B2303}"/>
              </c:ext>
            </c:extLst>
          </c:dPt>
          <c:dPt>
            <c:idx val="2"/>
            <c:bubble3D val="0"/>
            <c:spPr>
              <a:solidFill>
                <a:schemeClr val="accent6">
                  <a:lumMod val="50000"/>
                </a:schemeClr>
              </a:solidFill>
            </c:spPr>
            <c:extLst>
              <c:ext xmlns:c16="http://schemas.microsoft.com/office/drawing/2014/chart" uri="{C3380CC4-5D6E-409C-BE32-E72D297353CC}">
                <c16:uniqueId val="{00000005-3176-45A6-B1B4-A0224E7B2303}"/>
              </c:ext>
            </c:extLst>
          </c:dPt>
          <c:dPt>
            <c:idx val="3"/>
            <c:bubble3D val="0"/>
            <c:spPr>
              <a:solidFill>
                <a:schemeClr val="accent6">
                  <a:lumMod val="75000"/>
                </a:schemeClr>
              </a:solidFill>
            </c:spPr>
            <c:extLst>
              <c:ext xmlns:c16="http://schemas.microsoft.com/office/drawing/2014/chart" uri="{C3380CC4-5D6E-409C-BE32-E72D297353CC}">
                <c16:uniqueId val="{00000007-3176-45A6-B1B4-A0224E7B2303}"/>
              </c:ext>
            </c:extLst>
          </c:dPt>
          <c:dPt>
            <c:idx val="4"/>
            <c:bubble3D val="0"/>
            <c:spPr>
              <a:solidFill>
                <a:schemeClr val="accent6">
                  <a:lumMod val="60000"/>
                  <a:lumOff val="40000"/>
                </a:schemeClr>
              </a:solidFill>
            </c:spPr>
            <c:extLst>
              <c:ext xmlns:c16="http://schemas.microsoft.com/office/drawing/2014/chart" uri="{C3380CC4-5D6E-409C-BE32-E72D297353CC}">
                <c16:uniqueId val="{00000009-3176-45A6-B1B4-A0224E7B2303}"/>
              </c:ext>
            </c:extLst>
          </c:dPt>
          <c:dPt>
            <c:idx val="5"/>
            <c:bubble3D val="0"/>
            <c:spPr>
              <a:solidFill>
                <a:schemeClr val="accent6">
                  <a:lumMod val="40000"/>
                  <a:lumOff val="60000"/>
                </a:schemeClr>
              </a:solidFill>
            </c:spPr>
            <c:extLst>
              <c:ext xmlns:c16="http://schemas.microsoft.com/office/drawing/2014/chart" uri="{C3380CC4-5D6E-409C-BE32-E72D297353CC}">
                <c16:uniqueId val="{0000000B-3176-45A6-B1B4-A0224E7B2303}"/>
              </c:ext>
            </c:extLst>
          </c:dPt>
          <c:dLbls>
            <c:dLbl>
              <c:idx val="0"/>
              <c:layout>
                <c:manualLayout>
                  <c:x val="-9.4388336644635487E-2"/>
                  <c:y val="0.17089972563799677"/>
                </c:manualLayout>
              </c:layout>
              <c:tx>
                <c:rich>
                  <a:bodyPr wrap="square" lIns="38100" tIns="19050" rIns="38100" bIns="19050" anchor="ctr">
                    <a:spAutoFit/>
                  </a:bodyPr>
                  <a:lstStyle/>
                  <a:p>
                    <a:pPr>
                      <a:defRPr sz="1200" b="1" i="0" baseline="0">
                        <a:solidFill>
                          <a:schemeClr val="bg1"/>
                        </a:solidFill>
                        <a:latin typeface="Arial" panose="020B0604020202020204" pitchFamily="34" charset="0"/>
                        <a:cs typeface="Arial" panose="020B0604020202020204" pitchFamily="34" charset="0"/>
                      </a:defRPr>
                    </a:pPr>
                    <a:r>
                      <a:rPr lang="en-US" sz="1200" b="1" i="0" baseline="0">
                        <a:solidFill>
                          <a:schemeClr val="bg1"/>
                        </a:solidFill>
                      </a:rPr>
                      <a:t>Res.</a:t>
                    </a:r>
                  </a:p>
                  <a:p>
                    <a:pPr>
                      <a:defRPr sz="1200" b="1" i="0" baseline="0">
                        <a:solidFill>
                          <a:schemeClr val="bg1"/>
                        </a:solidFill>
                        <a:latin typeface="Arial" panose="020B0604020202020204" pitchFamily="34" charset="0"/>
                        <a:cs typeface="Arial" panose="020B0604020202020204" pitchFamily="34" charset="0"/>
                      </a:defRPr>
                    </a:pPr>
                    <a:r>
                      <a:rPr lang="en-US" sz="1200" b="1" i="0" baseline="0">
                        <a:solidFill>
                          <a:schemeClr val="bg1"/>
                        </a:solidFill>
                      </a:rPr>
                      <a:t> Income- Eligible</a:t>
                    </a:r>
                  </a:p>
                  <a:p>
                    <a:pPr>
                      <a:defRPr sz="1200" b="1" i="0" baseline="0">
                        <a:solidFill>
                          <a:schemeClr val="bg1"/>
                        </a:solidFill>
                        <a:latin typeface="Arial" panose="020B0604020202020204" pitchFamily="34" charset="0"/>
                        <a:cs typeface="Arial" panose="020B0604020202020204" pitchFamily="34" charset="0"/>
                      </a:defRPr>
                    </a:pPr>
                    <a:r>
                      <a:rPr lang="en-US" sz="1200" b="1" i="0" baseline="0">
                        <a:solidFill>
                          <a:schemeClr val="bg1"/>
                        </a:solidFill>
                      </a:rPr>
                      <a:t> 12%</a:t>
                    </a:r>
                  </a:p>
                </c:rich>
              </c:tx>
              <c:numFmt formatCode="0.00%" sourceLinked="0"/>
              <c:spPr>
                <a:noFill/>
                <a:ln>
                  <a:noFill/>
                </a:ln>
                <a:effectLst/>
              </c:spPr>
              <c:dLblPos val="bestFit"/>
              <c:showLegendKey val="0"/>
              <c:showVal val="0"/>
              <c:showCatName val="1"/>
              <c:showSerName val="0"/>
              <c:showPercent val="1"/>
              <c:showBubbleSize val="0"/>
              <c:separator>, </c:separator>
              <c:extLst>
                <c:ext xmlns:c15="http://schemas.microsoft.com/office/drawing/2012/chart" uri="{CE6537A1-D6FC-4f65-9D91-7224C49458BB}">
                  <c15:showDataLabelsRange val="1"/>
                </c:ext>
                <c:ext xmlns:c16="http://schemas.microsoft.com/office/drawing/2014/chart" uri="{C3380CC4-5D6E-409C-BE32-E72D297353CC}">
                  <c16:uniqueId val="{00000001-3176-45A6-B1B4-A0224E7B2303}"/>
                </c:ext>
              </c:extLst>
            </c:dLbl>
            <c:dLbl>
              <c:idx val="1"/>
              <c:layout>
                <c:manualLayout>
                  <c:x val="-0.2241284406646834"/>
                  <c:y val="-5.9729001406393464E-2"/>
                </c:manualLayout>
              </c:layout>
              <c:tx>
                <c:rich>
                  <a:bodyPr/>
                  <a:lstStyle/>
                  <a:p>
                    <a:r>
                      <a:rPr lang="en-US"/>
                      <a:t>Res. Non Income- Eligible,</a:t>
                    </a:r>
                    <a:r>
                      <a:rPr lang="en-US" baseline="0"/>
                      <a:t> 34</a:t>
                    </a:r>
                    <a:r>
                      <a:rPr lang="en-US"/>
                      <a:t>%</a:t>
                    </a:r>
                  </a:p>
                </c:rich>
              </c:tx>
              <c:dLblPos val="bestFit"/>
              <c:showLegendKey val="0"/>
              <c:showVal val="0"/>
              <c:showCatName val="1"/>
              <c:showSerName val="0"/>
              <c:showPercent val="1"/>
              <c:showBubbleSize val="0"/>
              <c:separator>, </c:separator>
              <c:extLst>
                <c:ext xmlns:c15="http://schemas.microsoft.com/office/drawing/2012/chart" uri="{CE6537A1-D6FC-4f65-9D91-7224C49458BB}">
                  <c15:showDataLabelsRange val="1"/>
                </c:ext>
                <c:ext xmlns:c16="http://schemas.microsoft.com/office/drawing/2014/chart" uri="{C3380CC4-5D6E-409C-BE32-E72D297353CC}">
                  <c16:uniqueId val="{00000003-3176-45A6-B1B4-A0224E7B2303}"/>
                </c:ext>
              </c:extLst>
            </c:dLbl>
            <c:dLbl>
              <c:idx val="2"/>
              <c:layout>
                <c:manualLayout>
                  <c:x val="7.9397832469474183E-2"/>
                  <c:y val="-0.10604342324577179"/>
                </c:manualLayout>
              </c:layout>
              <c:tx>
                <c:rich>
                  <a:bodyPr/>
                  <a:lstStyle/>
                  <a:p>
                    <a:fld id="{014A6E2C-2030-41B0-9F84-9C8FFDE788A4}" type="CATEGORYNAME">
                      <a:rPr lang="en-US"/>
                      <a:pPr/>
                      <a:t>[CATEGORY NAME]</a:t>
                    </a:fld>
                    <a:r>
                      <a:rPr lang="en-US" baseline="0"/>
                      <a:t>, </a:t>
                    </a:r>
                  </a:p>
                  <a:p>
                    <a:fld id="{9EA42C7C-4799-4C74-8555-40B121E40171}" type="VALUE">
                      <a:rPr lang="en-US" baseline="0"/>
                      <a:pPr/>
                      <a:t>[VALUE]</a:t>
                    </a:fld>
                    <a:endParaRPr lang="en-US"/>
                  </a:p>
                </c:rich>
              </c:tx>
              <c:dLblPos val="bestFit"/>
              <c:showLegendKey val="0"/>
              <c:showVal val="0"/>
              <c:showCatName val="1"/>
              <c:showSerName val="0"/>
              <c:showPercent val="1"/>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5-3176-45A6-B1B4-A0224E7B2303}"/>
                </c:ext>
              </c:extLst>
            </c:dLbl>
            <c:dLbl>
              <c:idx val="3"/>
              <c:layout>
                <c:manualLayout>
                  <c:x val="0.15176709147063189"/>
                  <c:y val="-0.12482942223946121"/>
                </c:manualLayout>
              </c:layout>
              <c:tx>
                <c:rich>
                  <a:bodyPr/>
                  <a:lstStyle/>
                  <a:p>
                    <a:fld id="{3B29AE6D-8249-46C9-87D6-F3519315C864}" type="CATEGORYNAME">
                      <a:rPr lang="en-US"/>
                      <a:pPr/>
                      <a:t>[CATEGORY NAME]</a:t>
                    </a:fld>
                    <a:r>
                      <a:rPr lang="en-US" baseline="0"/>
                      <a:t>, </a:t>
                    </a:r>
                  </a:p>
                  <a:p>
                    <a:fld id="{EE2DAFD8-F63B-4E7D-A1A9-BC0DC9894C14}" type="VALUE">
                      <a:rPr lang="en-US" baseline="0"/>
                      <a:pPr/>
                      <a:t>[VALUE]</a:t>
                    </a:fld>
                    <a:endParaRPr lang="en-US"/>
                  </a:p>
                </c:rich>
              </c:tx>
              <c:dLblPos val="bestFit"/>
              <c:showLegendKey val="0"/>
              <c:showVal val="0"/>
              <c:showCatName val="1"/>
              <c:showSerName val="0"/>
              <c:showPercent val="1"/>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7-3176-45A6-B1B4-A0224E7B2303}"/>
                </c:ext>
              </c:extLst>
            </c:dLbl>
            <c:dLbl>
              <c:idx val="4"/>
              <c:layout>
                <c:manualLayout>
                  <c:x val="0.18246485003411358"/>
                  <c:y val="7.7753350864653889E-2"/>
                </c:manualLayout>
              </c:layout>
              <c:tx>
                <c:rich>
                  <a:bodyPr wrap="square" lIns="38100" tIns="19050" rIns="38100" bIns="19050" anchor="ctr">
                    <a:spAutoFit/>
                  </a:bodyPr>
                  <a:lstStyle/>
                  <a:p>
                    <a:pPr>
                      <a:defRPr sz="1200" b="1" baseline="0">
                        <a:solidFill>
                          <a:sysClr val="windowText" lastClr="000000"/>
                        </a:solidFill>
                        <a:latin typeface="Arial" panose="020B0604020202020204" pitchFamily="34" charset="0"/>
                        <a:cs typeface="Arial" panose="020B0604020202020204" pitchFamily="34" charset="0"/>
                      </a:defRPr>
                    </a:pPr>
                    <a:fld id="{32BA217C-2CD8-41E6-9390-E566B36B22E3}" type="CATEGORYNAME">
                      <a:rPr lang="en-US"/>
                      <a:pPr>
                        <a:defRPr sz="1200" b="1" baseline="0">
                          <a:solidFill>
                            <a:sysClr val="windowText" lastClr="000000"/>
                          </a:solidFill>
                          <a:latin typeface="Arial" panose="020B0604020202020204" pitchFamily="34" charset="0"/>
                          <a:cs typeface="Arial" panose="020B0604020202020204" pitchFamily="34" charset="0"/>
                        </a:defRPr>
                      </a:pPr>
                      <a:t>[CATEGORY NAME]</a:t>
                    </a:fld>
                    <a:r>
                      <a:rPr lang="en-US" baseline="0"/>
                      <a:t>, </a:t>
                    </a:r>
                  </a:p>
                  <a:p>
                    <a:pPr>
                      <a:defRPr sz="1200" b="1" baseline="0">
                        <a:solidFill>
                          <a:sysClr val="windowText" lastClr="000000"/>
                        </a:solidFill>
                        <a:latin typeface="Arial" panose="020B0604020202020204" pitchFamily="34" charset="0"/>
                        <a:cs typeface="Arial" panose="020B0604020202020204" pitchFamily="34" charset="0"/>
                      </a:defRPr>
                    </a:pPr>
                    <a:fld id="{56BD61A3-1EC5-41D0-852D-25EB1F22B065}" type="VALUE">
                      <a:rPr lang="en-US" baseline="0"/>
                      <a:pPr>
                        <a:defRPr sz="1200" b="1" baseline="0">
                          <a:solidFill>
                            <a:sysClr val="windowText" lastClr="000000"/>
                          </a:solidFill>
                          <a:latin typeface="Arial" panose="020B0604020202020204" pitchFamily="34" charset="0"/>
                          <a:cs typeface="Arial" panose="020B0604020202020204" pitchFamily="34" charset="0"/>
                        </a:defRPr>
                      </a:pPr>
                      <a:t>[VALUE]</a:t>
                    </a:fld>
                    <a:endParaRPr lang="en-US"/>
                  </a:p>
                </c:rich>
              </c:tx>
              <c:numFmt formatCode="0.00%" sourceLinked="0"/>
              <c:spPr>
                <a:noFill/>
                <a:ln>
                  <a:noFill/>
                </a:ln>
                <a:effectLst/>
              </c:spPr>
              <c:dLblPos val="bestFit"/>
              <c:showLegendKey val="0"/>
              <c:showVal val="0"/>
              <c:showCatName val="1"/>
              <c:showSerName val="0"/>
              <c:showPercent val="1"/>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9-3176-45A6-B1B4-A0224E7B2303}"/>
                </c:ext>
              </c:extLst>
            </c:dLbl>
            <c:dLbl>
              <c:idx val="5"/>
              <c:layout>
                <c:manualLayout>
                  <c:x val="0.11156377292120123"/>
                  <c:y val="0.18447840704580065"/>
                </c:manualLayout>
              </c:layout>
              <c:tx>
                <c:rich>
                  <a:bodyPr wrap="square" lIns="38100" tIns="19050" rIns="38100" bIns="19050" anchor="ctr">
                    <a:spAutoFit/>
                  </a:bodyPr>
                  <a:lstStyle/>
                  <a:p>
                    <a:pPr>
                      <a:defRPr sz="1200" b="1" baseline="0">
                        <a:solidFill>
                          <a:sysClr val="windowText" lastClr="000000"/>
                        </a:solidFill>
                        <a:latin typeface="Arial" panose="020B0604020202020204" pitchFamily="34" charset="0"/>
                        <a:cs typeface="Arial" panose="020B0604020202020204" pitchFamily="34" charset="0"/>
                      </a:defRPr>
                    </a:pPr>
                    <a:fld id="{A6687448-4B20-4635-B54F-6815945DE78D}" type="CATEGORYNAME">
                      <a:rPr lang="en-US"/>
                      <a:pPr>
                        <a:defRPr sz="1200" b="1" baseline="0">
                          <a:solidFill>
                            <a:sysClr val="windowText" lastClr="000000"/>
                          </a:solidFill>
                          <a:latin typeface="Arial" panose="020B0604020202020204" pitchFamily="34" charset="0"/>
                          <a:cs typeface="Arial" panose="020B0604020202020204" pitchFamily="34" charset="0"/>
                        </a:defRPr>
                      </a:pPr>
                      <a:t>[CATEGORY NAME]</a:t>
                    </a:fld>
                    <a:r>
                      <a:rPr lang="en-US" baseline="0"/>
                      <a:t>, </a:t>
                    </a:r>
                  </a:p>
                  <a:p>
                    <a:pPr>
                      <a:defRPr sz="1200" b="1" baseline="0">
                        <a:solidFill>
                          <a:sysClr val="windowText" lastClr="000000"/>
                        </a:solidFill>
                        <a:latin typeface="Arial" panose="020B0604020202020204" pitchFamily="34" charset="0"/>
                        <a:cs typeface="Arial" panose="020B0604020202020204" pitchFamily="34" charset="0"/>
                      </a:defRPr>
                    </a:pPr>
                    <a:fld id="{3FD0AAA3-163C-465B-9882-AB7CF4AFDDEB}" type="VALUE">
                      <a:rPr lang="en-US" baseline="0"/>
                      <a:pPr>
                        <a:defRPr sz="1200" b="1" baseline="0">
                          <a:solidFill>
                            <a:sysClr val="windowText" lastClr="000000"/>
                          </a:solidFill>
                          <a:latin typeface="Arial" panose="020B0604020202020204" pitchFamily="34" charset="0"/>
                          <a:cs typeface="Arial" panose="020B0604020202020204" pitchFamily="34" charset="0"/>
                        </a:defRPr>
                      </a:pPr>
                      <a:t>[VALUE]</a:t>
                    </a:fld>
                    <a:endParaRPr lang="en-US"/>
                  </a:p>
                </c:rich>
              </c:tx>
              <c:numFmt formatCode="0.00%" sourceLinked="0"/>
              <c:spPr>
                <a:noFill/>
                <a:ln>
                  <a:noFill/>
                </a:ln>
                <a:effectLst/>
              </c:spPr>
              <c:dLblPos val="bestFit"/>
              <c:showLegendKey val="0"/>
              <c:showVal val="0"/>
              <c:showCatName val="1"/>
              <c:showSerName val="0"/>
              <c:showPercent val="1"/>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B-3176-45A6-B1B4-A0224E7B2303}"/>
                </c:ext>
              </c:extLst>
            </c:dLbl>
            <c:numFmt formatCode="0.00%" sourceLinked="0"/>
            <c:spPr>
              <a:noFill/>
              <a:ln>
                <a:noFill/>
              </a:ln>
              <a:effectLst/>
            </c:spPr>
            <c:txPr>
              <a:bodyPr wrap="square" lIns="38100" tIns="19050" rIns="38100" bIns="19050" anchor="ctr">
                <a:spAutoFit/>
              </a:bodyPr>
              <a:lstStyle/>
              <a:p>
                <a:pPr>
                  <a:defRPr sz="1200" b="1" baseline="0">
                    <a:solidFill>
                      <a:schemeClr val="bg1"/>
                    </a:solidFill>
                    <a:latin typeface="Arial" panose="020B0604020202020204" pitchFamily="34" charset="0"/>
                    <a:cs typeface="Arial" panose="020B0604020202020204" pitchFamily="34" charset="0"/>
                  </a:defRPr>
                </a:pPr>
                <a:endParaRPr lang="en-US"/>
              </a:p>
            </c:txPr>
            <c:dLblPos val="inEnd"/>
            <c:showLegendKey val="0"/>
            <c:showVal val="0"/>
            <c:showCatName val="1"/>
            <c:showSerName val="0"/>
            <c:showPercent val="1"/>
            <c:showBubbleSize val="0"/>
            <c:separator>, </c:separator>
            <c:showLeaderLines val="1"/>
            <c:extLst>
              <c:ext xmlns:c15="http://schemas.microsoft.com/office/drawing/2012/chart" uri="{CE6537A1-D6FC-4f65-9D91-7224C49458BB}">
                <c15:showDataLabelsRange val="1"/>
              </c:ext>
            </c:extLst>
          </c:dLbls>
          <c:cat>
            <c:strRef>
              <c:f>('[14]2024 Joint Table A1 Pies - Gas'!$B$30:$B$31,'[14]2024 Joint Table A1 Pies - Gas'!$B$35:$B$38)</c:f>
              <c:strCache>
                <c:ptCount val="6"/>
                <c:pt idx="0">
                  <c:v>Res. Income-Eligible</c:v>
                </c:pt>
                <c:pt idx="1">
                  <c:v>Res. Non Income-Eligible</c:v>
                </c:pt>
                <c:pt idx="2">
                  <c:v>C&amp;I Q1</c:v>
                </c:pt>
                <c:pt idx="3">
                  <c:v>C&amp;I Q2</c:v>
                </c:pt>
                <c:pt idx="4">
                  <c:v>C&amp;I Q3</c:v>
                </c:pt>
                <c:pt idx="5">
                  <c:v>C&amp;I Q4</c:v>
                </c:pt>
              </c:strCache>
            </c:strRef>
          </c:cat>
          <c:val>
            <c:numRef>
              <c:f>('[14]2024 Joint Table A1 Pies - Gas'!$G$30:$G$31,'[14]2024 Joint Table A1 Pies - Gas'!$G$35:$G$38)</c:f>
              <c:numCache>
                <c:formatCode>General</c:formatCode>
                <c:ptCount val="6"/>
                <c:pt idx="0">
                  <c:v>0.12428739999999999</c:v>
                </c:pt>
                <c:pt idx="1">
                  <c:v>0.34118231999999998</c:v>
                </c:pt>
                <c:pt idx="2">
                  <c:v>0.13363257000000001</c:v>
                </c:pt>
                <c:pt idx="3">
                  <c:v>0.13363257000000001</c:v>
                </c:pt>
                <c:pt idx="4">
                  <c:v>0.13363257000000001</c:v>
                </c:pt>
                <c:pt idx="5">
                  <c:v>0.13363257000000001</c:v>
                </c:pt>
              </c:numCache>
            </c:numRef>
          </c:val>
          <c:extLst>
            <c:ext xmlns:c15="http://schemas.microsoft.com/office/drawing/2012/chart" uri="{02D57815-91ED-43cb-92C2-25804820EDAC}">
              <c15:datalabelsRange>
                <c15:f>'[14]2024 Joint Table A1 Pies - Gas'!$G$30</c15:f>
                <c15:dlblRangeCache>
                  <c:ptCount val="1"/>
                  <c:pt idx="0">
                    <c:v>0.1242874</c:v>
                  </c:pt>
                </c15:dlblRangeCache>
              </c15:datalabelsRange>
            </c:ext>
            <c:ext xmlns:c16="http://schemas.microsoft.com/office/drawing/2014/chart" uri="{C3380CC4-5D6E-409C-BE32-E72D297353CC}">
              <c16:uniqueId val="{0000000C-3176-45A6-B1B4-A0224E7B2303}"/>
            </c:ext>
          </c:extLst>
        </c:ser>
        <c:dLbls>
          <c:showLegendKey val="0"/>
          <c:showVal val="0"/>
          <c:showCatName val="0"/>
          <c:showSerName val="0"/>
          <c:showPercent val="1"/>
          <c:showBubbleSize val="0"/>
          <c:showLeaderLines val="1"/>
        </c:dLbls>
        <c:firstSliceAng val="0"/>
      </c:pieChart>
    </c:plotArea>
    <c:plotVisOnly val="1"/>
    <c:dispBlanksAs val="gap"/>
    <c:showDLblsOverMax val="0"/>
  </c:chart>
  <c:spPr>
    <a:ln>
      <a:solidFill>
        <a:schemeClr val="bg1"/>
      </a:solidFill>
    </a:ln>
  </c:sp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Budget by Customer Class </a:t>
            </a:r>
          </a:p>
        </c:rich>
      </c:tx>
      <c:overlay val="0"/>
    </c:title>
    <c:autoTitleDeleted val="0"/>
    <c:plotArea>
      <c:layout/>
      <c:pieChart>
        <c:varyColors val="1"/>
        <c:ser>
          <c:idx val="0"/>
          <c:order val="0"/>
          <c:dLbls>
            <c:dLbl>
              <c:idx val="0"/>
              <c:layout>
                <c:manualLayout>
                  <c:x val="0.10165323060363142"/>
                  <c:y val="6.3284617381071176E-2"/>
                </c:manualLayout>
              </c:layout>
              <c:tx>
                <c:rich>
                  <a:bodyPr wrap="square" lIns="38100" tIns="19050" rIns="38100" bIns="19050" anchor="ctr">
                    <a:spAutoFit/>
                  </a:bodyPr>
                  <a:lstStyle/>
                  <a:p>
                    <a:pPr>
                      <a:defRPr sz="1200" b="0" i="0" baseline="0">
                        <a:latin typeface="Arial" panose="020B0604020202020204" pitchFamily="34" charset="0"/>
                        <a:cs typeface="Arial" panose="020B0604020202020204" pitchFamily="34" charset="0"/>
                      </a:defRPr>
                    </a:pPr>
                    <a:r>
                      <a:rPr lang="en-US" sz="1200" b="0" i="0" baseline="0"/>
                      <a:t>Res. Income- Eligible</a:t>
                    </a:r>
                  </a:p>
                  <a:p>
                    <a:pPr>
                      <a:defRPr sz="1200" b="0" i="0" baseline="0">
                        <a:latin typeface="Arial" panose="020B0604020202020204" pitchFamily="34" charset="0"/>
                        <a:cs typeface="Arial" panose="020B0604020202020204" pitchFamily="34" charset="0"/>
                      </a:defRPr>
                    </a:pPr>
                    <a:r>
                      <a:rPr lang="en-US" sz="1200" b="0" i="0" baseline="0"/>
                      <a:t> 20.06%</a:t>
                    </a:r>
                  </a:p>
                </c:rich>
              </c:tx>
              <c:numFmt formatCode="0.00%" sourceLinked="0"/>
              <c:spPr>
                <a:noFill/>
                <a:ln>
                  <a:noFill/>
                </a:ln>
                <a:effectLst/>
              </c:spPr>
              <c:dLblPos val="bestFit"/>
              <c:showLegendKey val="0"/>
              <c:showVal val="0"/>
              <c:showCatName val="1"/>
              <c:showSerName val="0"/>
              <c:showPercent val="1"/>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00-524D-4055-A1C3-592375B45B8D}"/>
                </c:ext>
              </c:extLst>
            </c:dLbl>
            <c:dLbl>
              <c:idx val="1"/>
              <c:layout>
                <c:manualLayout>
                  <c:x val="4.40377305044896E-2"/>
                  <c:y val="-9.3660783381903118E-2"/>
                </c:manualLayout>
              </c:layout>
              <c:tx>
                <c:rich>
                  <a:bodyPr/>
                  <a:lstStyle/>
                  <a:p>
                    <a:r>
                      <a:rPr lang="en-US"/>
                      <a:t>Res. Non Income- Eligible</a:t>
                    </a:r>
                    <a:r>
                      <a:rPr lang="en-US" baseline="0"/>
                      <a:t> 33</a:t>
                    </a:r>
                    <a:r>
                      <a:rPr lang="en-US"/>
                      <a:t>.00%</a:t>
                    </a:r>
                  </a:p>
                </c:rich>
              </c:tx>
              <c:dLblPos val="bestFit"/>
              <c:showLegendKey val="0"/>
              <c:showVal val="0"/>
              <c:showCatName val="1"/>
              <c:showSerName val="0"/>
              <c:showPercent val="1"/>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01-524D-4055-A1C3-592375B45B8D}"/>
                </c:ext>
              </c:extLst>
            </c:dLbl>
            <c:dLbl>
              <c:idx val="2"/>
              <c:layout>
                <c:manualLayout>
                  <c:x val="-4.7619047619047616E-2"/>
                  <c:y val="-0.12192723697148476"/>
                </c:manualLayout>
              </c:layout>
              <c:tx>
                <c:rich>
                  <a:bodyPr/>
                  <a:lstStyle/>
                  <a:p>
                    <a:r>
                      <a:rPr lang="en-US"/>
                      <a:t>Commercial and Industrial 46.95%</a:t>
                    </a:r>
                  </a:p>
                </c:rich>
              </c:tx>
              <c:dLblPos val="bestFit"/>
              <c:showLegendKey val="0"/>
              <c:showVal val="0"/>
              <c:showCatName val="1"/>
              <c:showSerName val="0"/>
              <c:showPercent val="1"/>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02-524D-4055-A1C3-592375B45B8D}"/>
                </c:ext>
              </c:extLst>
            </c:dLbl>
            <c:numFmt formatCode="0.00%" sourceLinked="0"/>
            <c:spPr>
              <a:noFill/>
              <a:ln>
                <a:noFill/>
              </a:ln>
              <a:effectLst/>
            </c:spPr>
            <c:txPr>
              <a:bodyPr wrap="square" lIns="38100" tIns="19050" rIns="38100" bIns="19050" anchor="ctr">
                <a:spAutoFit/>
              </a:bodyPr>
              <a:lstStyle/>
              <a:p>
                <a:pPr>
                  <a:defRPr sz="1200" b="0" baseline="0">
                    <a:latin typeface="Arial" panose="020B0604020202020204" pitchFamily="34" charset="0"/>
                    <a:cs typeface="Arial" panose="020B0604020202020204" pitchFamily="34" charset="0"/>
                  </a:defRPr>
                </a:pPr>
                <a:endParaRPr lang="en-US"/>
              </a:p>
            </c:txPr>
            <c:dLblPos val="outEnd"/>
            <c:showLegendKey val="0"/>
            <c:showVal val="0"/>
            <c:showCatName val="1"/>
            <c:showSerName val="0"/>
            <c:showPercent val="1"/>
            <c:showBubbleSize val="0"/>
            <c:separator>, </c:separator>
            <c:showLeaderLines val="1"/>
            <c:extLst>
              <c:ext xmlns:c15="http://schemas.microsoft.com/office/drawing/2012/chart" uri="{CE6537A1-D6FC-4f65-9D91-7224C49458BB}"/>
            </c:extLst>
          </c:dLbls>
          <c:cat>
            <c:strRef>
              <c:f>('ES CT Gas 2021 Table A Pie'!$B$30:$B$31,'ES CT Gas 2021 Table A Pie'!$B$34)</c:f>
              <c:strCache>
                <c:ptCount val="3"/>
                <c:pt idx="0">
                  <c:v>Res. Income-Eligible</c:v>
                </c:pt>
                <c:pt idx="1">
                  <c:v>Res. Non Income-Eligible</c:v>
                </c:pt>
                <c:pt idx="2">
                  <c:v>Commercial and Industrial</c:v>
                </c:pt>
              </c:strCache>
            </c:strRef>
          </c:cat>
          <c:val>
            <c:numRef>
              <c:f>('ES CT Gas 2021 Table A Pie'!$F$30:$F$31,'ES CT Gas 2021 Table A Pie'!$F$34)</c:f>
              <c:numCache>
                <c:formatCode>0.00%</c:formatCode>
                <c:ptCount val="3"/>
                <c:pt idx="0">
                  <c:v>0.28696652216498297</c:v>
                </c:pt>
                <c:pt idx="1">
                  <c:v>0.46900918521463619</c:v>
                </c:pt>
                <c:pt idx="2">
                  <c:v>0.24402429262038075</c:v>
                </c:pt>
              </c:numCache>
            </c:numRef>
          </c:val>
          <c:extLst>
            <c:ext xmlns:c16="http://schemas.microsoft.com/office/drawing/2014/chart" uri="{C3380CC4-5D6E-409C-BE32-E72D297353CC}">
              <c16:uniqueId val="{00000003-524D-4055-A1C3-592375B45B8D}"/>
            </c:ext>
          </c:extLst>
        </c:ser>
        <c:dLbls>
          <c:showLegendKey val="0"/>
          <c:showVal val="0"/>
          <c:showCatName val="0"/>
          <c:showSerName val="0"/>
          <c:showPercent val="1"/>
          <c:showBubbleSize val="0"/>
          <c:showLeaderLines val="1"/>
        </c:dLbls>
        <c:firstSliceAng val="0"/>
      </c:pieChart>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Budget by Customer Class </a:t>
            </a:r>
          </a:p>
        </c:rich>
      </c:tx>
      <c:layout>
        <c:manualLayout>
          <c:xMode val="edge"/>
          <c:yMode val="edge"/>
          <c:x val="0.2437536860858141"/>
          <c:y val="2.2576352959057695E-2"/>
        </c:manualLayout>
      </c:layout>
      <c:overlay val="0"/>
    </c:title>
    <c:autoTitleDeleted val="0"/>
    <c:plotArea>
      <c:layout/>
      <c:pieChart>
        <c:varyColors val="1"/>
        <c:ser>
          <c:idx val="0"/>
          <c:order val="0"/>
          <c:dLbls>
            <c:dLbl>
              <c:idx val="0"/>
              <c:layout>
                <c:manualLayout>
                  <c:x val="0.10165323060363142"/>
                  <c:y val="6.3284617381071176E-2"/>
                </c:manualLayout>
              </c:layout>
              <c:tx>
                <c:rich>
                  <a:bodyPr wrap="square" lIns="38100" tIns="19050" rIns="38100" bIns="19050" anchor="ctr">
                    <a:spAutoFit/>
                  </a:bodyPr>
                  <a:lstStyle/>
                  <a:p>
                    <a:pPr>
                      <a:defRPr sz="1200" b="0" i="0" baseline="0">
                        <a:latin typeface="Arial" panose="020B0604020202020204" pitchFamily="34" charset="0"/>
                        <a:cs typeface="Arial" panose="020B0604020202020204" pitchFamily="34" charset="0"/>
                      </a:defRPr>
                    </a:pPr>
                    <a:r>
                      <a:rPr lang="en-US" sz="1200" b="0" i="0" baseline="0"/>
                      <a:t>Res. Income- Eligible</a:t>
                    </a:r>
                  </a:p>
                  <a:p>
                    <a:pPr>
                      <a:defRPr sz="1200" b="0" i="0" baseline="0">
                        <a:latin typeface="Arial" panose="020B0604020202020204" pitchFamily="34" charset="0"/>
                        <a:cs typeface="Arial" panose="020B0604020202020204" pitchFamily="34" charset="0"/>
                      </a:defRPr>
                    </a:pPr>
                    <a:r>
                      <a:rPr lang="en-US" sz="1200" b="0" i="0" baseline="0"/>
                      <a:t> 25.03%</a:t>
                    </a:r>
                  </a:p>
                </c:rich>
              </c:tx>
              <c:numFmt formatCode="0.00%" sourceLinked="0"/>
              <c:spPr>
                <a:noFill/>
                <a:ln>
                  <a:noFill/>
                </a:ln>
                <a:effectLst/>
              </c:spPr>
              <c:dLblPos val="bestFit"/>
              <c:showLegendKey val="0"/>
              <c:showVal val="0"/>
              <c:showCatName val="1"/>
              <c:showSerName val="0"/>
              <c:showPercent val="1"/>
              <c:showBubbleSize val="0"/>
              <c:separator>, </c:separator>
              <c:extLst>
                <c:ext xmlns:c15="http://schemas.microsoft.com/office/drawing/2012/chart" uri="{CE6537A1-D6FC-4f65-9D91-7224C49458BB}">
                  <c15:showDataLabelsRange val="1"/>
                </c:ext>
                <c:ext xmlns:c16="http://schemas.microsoft.com/office/drawing/2014/chart" uri="{C3380CC4-5D6E-409C-BE32-E72D297353CC}">
                  <c16:uniqueId val="{00000000-A521-4851-A2EE-D4068F642224}"/>
                </c:ext>
              </c:extLst>
            </c:dLbl>
            <c:dLbl>
              <c:idx val="1"/>
              <c:layout>
                <c:manualLayout>
                  <c:x val="0.1215218602683673"/>
                  <c:y val="-7.1084402673253652E-2"/>
                </c:manualLayout>
              </c:layout>
              <c:tx>
                <c:rich>
                  <a:bodyPr/>
                  <a:lstStyle/>
                  <a:p>
                    <a:r>
                      <a:rPr lang="en-US"/>
                      <a:t>Res. Non Income- Eligible</a:t>
                    </a:r>
                    <a:r>
                      <a:rPr lang="en-US" baseline="0"/>
                      <a:t> 40.61</a:t>
                    </a:r>
                    <a:r>
                      <a:rPr lang="en-US"/>
                      <a:t>%</a:t>
                    </a:r>
                  </a:p>
                </c:rich>
              </c:tx>
              <c:dLblPos val="bestFit"/>
              <c:showLegendKey val="0"/>
              <c:showVal val="0"/>
              <c:showCatName val="1"/>
              <c:showSerName val="0"/>
              <c:showPercent val="1"/>
              <c:showBubbleSize val="0"/>
              <c:separator>, </c:separator>
              <c:extLst>
                <c:ext xmlns:c15="http://schemas.microsoft.com/office/drawing/2012/chart" uri="{CE6537A1-D6FC-4f65-9D91-7224C49458BB}">
                  <c15:showDataLabelsRange val="1"/>
                </c:ext>
                <c:ext xmlns:c16="http://schemas.microsoft.com/office/drawing/2014/chart" uri="{C3380CC4-5D6E-409C-BE32-E72D297353CC}">
                  <c16:uniqueId val="{00000001-A521-4851-A2EE-D4068F642224}"/>
                </c:ext>
              </c:extLst>
            </c:dLbl>
            <c:dLbl>
              <c:idx val="2"/>
              <c:layout>
                <c:manualLayout>
                  <c:x val="-4.7619047619047616E-2"/>
                  <c:y val="-0.12192723697148476"/>
                </c:manualLayout>
              </c:layout>
              <c:tx>
                <c:rich>
                  <a:bodyPr/>
                  <a:lstStyle/>
                  <a:p>
                    <a:r>
                      <a:rPr lang="en-US"/>
                      <a:t>Commercial and Industrial 34.36%</a:t>
                    </a:r>
                  </a:p>
                </c:rich>
              </c:tx>
              <c:dLblPos val="bestFit"/>
              <c:showLegendKey val="0"/>
              <c:showVal val="0"/>
              <c:showCatName val="1"/>
              <c:showSerName val="0"/>
              <c:showPercent val="1"/>
              <c:showBubbleSize val="0"/>
              <c:separator>, </c:separator>
              <c:extLst>
                <c:ext xmlns:c15="http://schemas.microsoft.com/office/drawing/2012/chart" uri="{CE6537A1-D6FC-4f65-9D91-7224C49458BB}">
                  <c15:showDataLabelsRange val="1"/>
                </c:ext>
                <c:ext xmlns:c16="http://schemas.microsoft.com/office/drawing/2014/chart" uri="{C3380CC4-5D6E-409C-BE32-E72D297353CC}">
                  <c16:uniqueId val="{00000002-A521-4851-A2EE-D4068F642224}"/>
                </c:ext>
              </c:extLst>
            </c:dLbl>
            <c:numFmt formatCode="0.00%" sourceLinked="0"/>
            <c:spPr>
              <a:noFill/>
              <a:ln>
                <a:noFill/>
              </a:ln>
              <a:effectLst/>
            </c:spPr>
            <c:txPr>
              <a:bodyPr wrap="square" lIns="38100" tIns="19050" rIns="38100" bIns="19050" anchor="ctr">
                <a:spAutoFit/>
              </a:bodyPr>
              <a:lstStyle/>
              <a:p>
                <a:pPr>
                  <a:defRPr sz="1200" b="0" baseline="0">
                    <a:latin typeface="Arial" panose="020B0604020202020204" pitchFamily="34" charset="0"/>
                    <a:cs typeface="Arial" panose="020B0604020202020204" pitchFamily="34" charset="0"/>
                  </a:defRPr>
                </a:pPr>
                <a:endParaRPr lang="en-US"/>
              </a:p>
            </c:txPr>
            <c:dLblPos val="outEnd"/>
            <c:showLegendKey val="0"/>
            <c:showVal val="0"/>
            <c:showCatName val="1"/>
            <c:showSerName val="0"/>
            <c:showPercent val="1"/>
            <c:showBubbleSize val="0"/>
            <c:separator>, </c:separator>
            <c:showLeaderLines val="1"/>
            <c:extLst>
              <c:ext xmlns:c15="http://schemas.microsoft.com/office/drawing/2012/chart" uri="{CE6537A1-D6FC-4f65-9D91-7224C49458BB}">
                <c15:showDataLabelsRange val="1"/>
              </c:ext>
            </c:extLst>
          </c:dLbls>
          <c:cat>
            <c:strRef>
              <c:f>('2022 Joint Table A1 Pies'!$B$30:$B$31,'2022 Joint Table A1 Pies'!$B$34)</c:f>
              <c:strCache>
                <c:ptCount val="3"/>
                <c:pt idx="0">
                  <c:v>Res. Income-Eligible</c:v>
                </c:pt>
                <c:pt idx="1">
                  <c:v>Res. Non Income-Eligible</c:v>
                </c:pt>
                <c:pt idx="2">
                  <c:v>Commercial and Industrial</c:v>
                </c:pt>
              </c:strCache>
            </c:strRef>
          </c:cat>
          <c:val>
            <c:numRef>
              <c:f>('2022 Joint Table A1 Pies'!$F$30:$F$31,'2022 Joint Table A1 Pies'!$F$34)</c:f>
              <c:numCache>
                <c:formatCode>0.00%</c:formatCode>
                <c:ptCount val="3"/>
                <c:pt idx="0">
                  <c:v>0.25030707267509905</c:v>
                </c:pt>
                <c:pt idx="1">
                  <c:v>0.4060577834018323</c:v>
                </c:pt>
                <c:pt idx="2">
                  <c:v>0.34363514392306865</c:v>
                </c:pt>
              </c:numCache>
            </c:numRef>
          </c:val>
          <c:extLst>
            <c:ext xmlns:c15="http://schemas.microsoft.com/office/drawing/2012/chart" uri="{02D57815-91ED-43cb-92C2-25804820EDAC}">
              <c15:datalabelsRange>
                <c15:f>'2022 Joint Table A1 Pies'!$F$34</c15:f>
                <c15:dlblRangeCache>
                  <c:ptCount val="1"/>
                  <c:pt idx="0">
                    <c:v>34.36%</c:v>
                  </c:pt>
                </c15:dlblRangeCache>
              </c15:datalabelsRange>
            </c:ext>
            <c:ext xmlns:c16="http://schemas.microsoft.com/office/drawing/2014/chart" uri="{C3380CC4-5D6E-409C-BE32-E72D297353CC}">
              <c16:uniqueId val="{00000003-A521-4851-A2EE-D4068F642224}"/>
            </c:ext>
          </c:extLst>
        </c:ser>
        <c:dLbls>
          <c:showLegendKey val="0"/>
          <c:showVal val="0"/>
          <c:showCatName val="0"/>
          <c:showSerName val="0"/>
          <c:showPercent val="1"/>
          <c:showBubbleSize val="0"/>
          <c:showLeaderLines val="1"/>
        </c:dLbls>
        <c:firstSliceAng val="0"/>
      </c:pieChart>
    </c:plotArea>
    <c:plotVisOnly val="1"/>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Budget by Customer Class </a:t>
            </a:r>
          </a:p>
        </c:rich>
      </c:tx>
      <c:overlay val="0"/>
    </c:title>
    <c:autoTitleDeleted val="0"/>
    <c:plotArea>
      <c:layout/>
      <c:pieChart>
        <c:varyColors val="1"/>
        <c:ser>
          <c:idx val="0"/>
          <c:order val="0"/>
          <c:dLbls>
            <c:dLbl>
              <c:idx val="0"/>
              <c:layout>
                <c:manualLayout>
                  <c:x val="0.10165323060363142"/>
                  <c:y val="6.3284617381071176E-2"/>
                </c:manualLayout>
              </c:layout>
              <c:tx>
                <c:rich>
                  <a:bodyPr wrap="square" lIns="38100" tIns="19050" rIns="38100" bIns="19050" anchor="ctr">
                    <a:spAutoFit/>
                  </a:bodyPr>
                  <a:lstStyle/>
                  <a:p>
                    <a:pPr>
                      <a:defRPr sz="1200" b="0" i="0" baseline="0">
                        <a:latin typeface="Arial" panose="020B0604020202020204" pitchFamily="34" charset="0"/>
                        <a:cs typeface="Arial" panose="020B0604020202020204" pitchFamily="34" charset="0"/>
                      </a:defRPr>
                    </a:pPr>
                    <a:r>
                      <a:rPr lang="en-US" sz="1200" b="0" i="0" baseline="0"/>
                      <a:t>Res. Income- Eligible</a:t>
                    </a:r>
                  </a:p>
                  <a:p>
                    <a:pPr>
                      <a:defRPr sz="1200" b="0" i="0" baseline="0">
                        <a:latin typeface="Arial" panose="020B0604020202020204" pitchFamily="34" charset="0"/>
                        <a:cs typeface="Arial" panose="020B0604020202020204" pitchFamily="34" charset="0"/>
                      </a:defRPr>
                    </a:pPr>
                    <a:r>
                      <a:rPr lang="en-US" sz="1200" b="0" i="0" baseline="0"/>
                      <a:t> 21.19%</a:t>
                    </a:r>
                  </a:p>
                </c:rich>
              </c:tx>
              <c:numFmt formatCode="0.00%" sourceLinked="0"/>
              <c:spPr>
                <a:noFill/>
                <a:ln>
                  <a:noFill/>
                </a:ln>
                <a:effectLst/>
              </c:spPr>
              <c:dLblPos val="bestFit"/>
              <c:showLegendKey val="0"/>
              <c:showVal val="0"/>
              <c:showCatName val="1"/>
              <c:showSerName val="0"/>
              <c:showPercent val="1"/>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00-2675-4E72-BFB3-C389D3767E1C}"/>
                </c:ext>
              </c:extLst>
            </c:dLbl>
            <c:dLbl>
              <c:idx val="1"/>
              <c:layout>
                <c:manualLayout>
                  <c:x val="4.9203398723648296E-2"/>
                  <c:y val="-9.3660755632311202E-2"/>
                </c:manualLayout>
              </c:layout>
              <c:tx>
                <c:rich>
                  <a:bodyPr/>
                  <a:lstStyle/>
                  <a:p>
                    <a:r>
                      <a:rPr lang="en-US"/>
                      <a:t>Res. Non Income- Eligible</a:t>
                    </a:r>
                    <a:r>
                      <a:rPr lang="en-US" baseline="0"/>
                      <a:t> 39.26</a:t>
                    </a:r>
                    <a:r>
                      <a:rPr lang="en-US"/>
                      <a:t>%</a:t>
                    </a:r>
                  </a:p>
                </c:rich>
              </c:tx>
              <c:dLblPos val="bestFit"/>
              <c:showLegendKey val="0"/>
              <c:showVal val="0"/>
              <c:showCatName val="1"/>
              <c:showSerName val="0"/>
              <c:showPercent val="1"/>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01-2675-4E72-BFB3-C389D3767E1C}"/>
                </c:ext>
              </c:extLst>
            </c:dLbl>
            <c:dLbl>
              <c:idx val="2"/>
              <c:layout>
                <c:manualLayout>
                  <c:x val="-4.7619047619047616E-2"/>
                  <c:y val="-0.12192723697148476"/>
                </c:manualLayout>
              </c:layout>
              <c:tx>
                <c:rich>
                  <a:bodyPr/>
                  <a:lstStyle/>
                  <a:p>
                    <a:r>
                      <a:rPr lang="en-US"/>
                      <a:t>Commercial and Industrial 39.55%</a:t>
                    </a:r>
                  </a:p>
                </c:rich>
              </c:tx>
              <c:dLblPos val="bestFit"/>
              <c:showLegendKey val="0"/>
              <c:showVal val="0"/>
              <c:showCatName val="1"/>
              <c:showSerName val="0"/>
              <c:showPercent val="1"/>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02-2675-4E72-BFB3-C389D3767E1C}"/>
                </c:ext>
              </c:extLst>
            </c:dLbl>
            <c:numFmt formatCode="0.00%" sourceLinked="0"/>
            <c:spPr>
              <a:noFill/>
              <a:ln>
                <a:noFill/>
              </a:ln>
              <a:effectLst/>
            </c:spPr>
            <c:txPr>
              <a:bodyPr wrap="square" lIns="38100" tIns="19050" rIns="38100" bIns="19050" anchor="ctr">
                <a:spAutoFit/>
              </a:bodyPr>
              <a:lstStyle/>
              <a:p>
                <a:pPr>
                  <a:defRPr sz="1200" b="0" baseline="0">
                    <a:latin typeface="Arial" panose="020B0604020202020204" pitchFamily="34" charset="0"/>
                    <a:cs typeface="Arial" panose="020B0604020202020204" pitchFamily="34" charset="0"/>
                  </a:defRPr>
                </a:pPr>
                <a:endParaRPr lang="en-US"/>
              </a:p>
            </c:txPr>
            <c:dLblPos val="outEnd"/>
            <c:showLegendKey val="0"/>
            <c:showVal val="0"/>
            <c:showCatName val="1"/>
            <c:showSerName val="0"/>
            <c:showPercent val="1"/>
            <c:showBubbleSize val="0"/>
            <c:separator>, </c:separator>
            <c:showLeaderLines val="1"/>
            <c:extLst>
              <c:ext xmlns:c15="http://schemas.microsoft.com/office/drawing/2012/chart" uri="{CE6537A1-D6FC-4f65-9D91-7224C49458BB}"/>
            </c:extLst>
          </c:dLbls>
          <c:cat>
            <c:strRef>
              <c:f>('ES CT Gas 2022 Table A Pie'!$B$30:$B$31,'ES CT Gas 2022 Table A Pie'!$B$34)</c:f>
              <c:strCache>
                <c:ptCount val="3"/>
                <c:pt idx="0">
                  <c:v>Res. Income-Eligible</c:v>
                </c:pt>
                <c:pt idx="1">
                  <c:v>Res. Non Income-Eligible</c:v>
                </c:pt>
                <c:pt idx="2">
                  <c:v>Commercial and Industrial</c:v>
                </c:pt>
              </c:strCache>
            </c:strRef>
          </c:cat>
          <c:val>
            <c:numRef>
              <c:f>('ES CT Gas 2022 Table A Pie'!$F$30:$F$31,'ES CT Gas 2022 Table A Pie'!$F$34)</c:f>
              <c:numCache>
                <c:formatCode>0.00%</c:formatCode>
                <c:ptCount val="3"/>
                <c:pt idx="0">
                  <c:v>0.21193025647176086</c:v>
                </c:pt>
                <c:pt idx="1">
                  <c:v>0.39254332383650609</c:v>
                </c:pt>
                <c:pt idx="2">
                  <c:v>0.39552641969173308</c:v>
                </c:pt>
              </c:numCache>
            </c:numRef>
          </c:val>
          <c:extLst>
            <c:ext xmlns:c16="http://schemas.microsoft.com/office/drawing/2014/chart" uri="{C3380CC4-5D6E-409C-BE32-E72D297353CC}">
              <c16:uniqueId val="{00000003-2675-4E72-BFB3-C389D3767E1C}"/>
            </c:ext>
          </c:extLst>
        </c:ser>
        <c:dLbls>
          <c:showLegendKey val="0"/>
          <c:showVal val="0"/>
          <c:showCatName val="0"/>
          <c:showSerName val="0"/>
          <c:showPercent val="1"/>
          <c:showBubbleSize val="0"/>
          <c:showLeaderLines val="1"/>
        </c:dLbls>
        <c:firstSliceAng val="0"/>
      </c:pieChart>
    </c:plotArea>
    <c:plotVisOnly val="1"/>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Budget by Customer Class </a:t>
            </a:r>
          </a:p>
        </c:rich>
      </c:tx>
      <c:overlay val="0"/>
    </c:title>
    <c:autoTitleDeleted val="0"/>
    <c:plotArea>
      <c:layout/>
      <c:pieChart>
        <c:varyColors val="1"/>
        <c:ser>
          <c:idx val="0"/>
          <c:order val="0"/>
          <c:dLbls>
            <c:dLbl>
              <c:idx val="0"/>
              <c:layout>
                <c:manualLayout>
                  <c:x val="0.10165323060363142"/>
                  <c:y val="6.3284617381071176E-2"/>
                </c:manualLayout>
              </c:layout>
              <c:tx>
                <c:rich>
                  <a:bodyPr wrap="square" lIns="38100" tIns="19050" rIns="38100" bIns="19050" anchor="ctr">
                    <a:spAutoFit/>
                  </a:bodyPr>
                  <a:lstStyle/>
                  <a:p>
                    <a:pPr>
                      <a:defRPr sz="1200" b="0" i="0" baseline="0">
                        <a:latin typeface="Arial" panose="020B0604020202020204" pitchFamily="34" charset="0"/>
                        <a:cs typeface="Arial" panose="020B0604020202020204" pitchFamily="34" charset="0"/>
                      </a:defRPr>
                    </a:pPr>
                    <a:r>
                      <a:rPr lang="en-US" sz="1200" b="0" i="0" baseline="0"/>
                      <a:t>Res. Income- Eligible</a:t>
                    </a:r>
                  </a:p>
                  <a:p>
                    <a:pPr>
                      <a:defRPr sz="1200" b="0" i="0" baseline="0">
                        <a:latin typeface="Arial" panose="020B0604020202020204" pitchFamily="34" charset="0"/>
                        <a:cs typeface="Arial" panose="020B0604020202020204" pitchFamily="34" charset="0"/>
                      </a:defRPr>
                    </a:pPr>
                    <a:r>
                      <a:rPr lang="en-US" sz="1200" b="0" i="0" baseline="0"/>
                      <a:t> 19.24%</a:t>
                    </a:r>
                  </a:p>
                </c:rich>
              </c:tx>
              <c:numFmt formatCode="0.00%" sourceLinked="0"/>
              <c:spPr>
                <a:noFill/>
                <a:ln>
                  <a:noFill/>
                </a:ln>
                <a:effectLst/>
              </c:spPr>
              <c:dLblPos val="bestFit"/>
              <c:showLegendKey val="0"/>
              <c:showVal val="0"/>
              <c:showCatName val="1"/>
              <c:showSerName val="0"/>
              <c:showPercent val="1"/>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00-E583-474A-A089-6FE8962FCF6A}"/>
                </c:ext>
              </c:extLst>
            </c:dLbl>
            <c:dLbl>
              <c:idx val="1"/>
              <c:layout>
                <c:manualLayout>
                  <c:x val="4.9203398723648296E-2"/>
                  <c:y val="-9.3660755632311202E-2"/>
                </c:manualLayout>
              </c:layout>
              <c:tx>
                <c:rich>
                  <a:bodyPr/>
                  <a:lstStyle/>
                  <a:p>
                    <a:r>
                      <a:rPr lang="en-US"/>
                      <a:t>Res. Non Income- Eligible</a:t>
                    </a:r>
                    <a:r>
                      <a:rPr lang="en-US" baseline="0"/>
                      <a:t> 36</a:t>
                    </a:r>
                    <a:r>
                      <a:rPr lang="en-US"/>
                      <a:t>.11%</a:t>
                    </a:r>
                  </a:p>
                </c:rich>
              </c:tx>
              <c:dLblPos val="bestFit"/>
              <c:showLegendKey val="0"/>
              <c:showVal val="0"/>
              <c:showCatName val="1"/>
              <c:showSerName val="0"/>
              <c:showPercent val="1"/>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01-E583-474A-A089-6FE8962FCF6A}"/>
                </c:ext>
              </c:extLst>
            </c:dLbl>
            <c:dLbl>
              <c:idx val="2"/>
              <c:layout>
                <c:manualLayout>
                  <c:x val="-4.7619047619047616E-2"/>
                  <c:y val="-0.12192723697148476"/>
                </c:manualLayout>
              </c:layout>
              <c:tx>
                <c:rich>
                  <a:bodyPr/>
                  <a:lstStyle/>
                  <a:p>
                    <a:r>
                      <a:rPr lang="en-US"/>
                      <a:t>Commercial and Industrial 44.65%</a:t>
                    </a:r>
                  </a:p>
                </c:rich>
              </c:tx>
              <c:dLblPos val="bestFit"/>
              <c:showLegendKey val="0"/>
              <c:showVal val="0"/>
              <c:showCatName val="1"/>
              <c:showSerName val="0"/>
              <c:showPercent val="1"/>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02-E583-474A-A089-6FE8962FCF6A}"/>
                </c:ext>
              </c:extLst>
            </c:dLbl>
            <c:numFmt formatCode="0.00%" sourceLinked="0"/>
            <c:spPr>
              <a:noFill/>
              <a:ln>
                <a:noFill/>
              </a:ln>
              <a:effectLst/>
            </c:spPr>
            <c:txPr>
              <a:bodyPr wrap="square" lIns="38100" tIns="19050" rIns="38100" bIns="19050" anchor="ctr">
                <a:spAutoFit/>
              </a:bodyPr>
              <a:lstStyle/>
              <a:p>
                <a:pPr>
                  <a:defRPr sz="1200" b="0" baseline="0">
                    <a:latin typeface="Arial" panose="020B0604020202020204" pitchFamily="34" charset="0"/>
                    <a:cs typeface="Arial" panose="020B0604020202020204" pitchFamily="34" charset="0"/>
                  </a:defRPr>
                </a:pPr>
                <a:endParaRPr lang="en-US"/>
              </a:p>
            </c:txPr>
            <c:dLblPos val="outEnd"/>
            <c:showLegendKey val="0"/>
            <c:showVal val="0"/>
            <c:showCatName val="1"/>
            <c:showSerName val="0"/>
            <c:showPercent val="1"/>
            <c:showBubbleSize val="0"/>
            <c:separator>, </c:separator>
            <c:showLeaderLines val="1"/>
            <c:extLst>
              <c:ext xmlns:c15="http://schemas.microsoft.com/office/drawing/2012/chart" uri="{CE6537A1-D6FC-4f65-9D91-7224C49458BB}"/>
            </c:extLst>
          </c:dLbls>
          <c:cat>
            <c:strRef>
              <c:f>('ES CT Gas 2023 Table A Pie'!$B$30:$B$31,'ES CT Gas 2023 Table A Pie'!$B$34)</c:f>
              <c:strCache>
                <c:ptCount val="3"/>
                <c:pt idx="0">
                  <c:v>Res. Income-Eligible</c:v>
                </c:pt>
                <c:pt idx="1">
                  <c:v>Res. Non Income-Eligible</c:v>
                </c:pt>
                <c:pt idx="2">
                  <c:v>Commercial and Industrial</c:v>
                </c:pt>
              </c:strCache>
            </c:strRef>
          </c:cat>
          <c:val>
            <c:numRef>
              <c:f>('ES CT Gas 2023 Table A Pie'!$F$30:$F$31,'ES CT Gas 2023 Table A Pie'!$F$34)</c:f>
              <c:numCache>
                <c:formatCode>0.00%</c:formatCode>
                <c:ptCount val="3"/>
                <c:pt idx="0">
                  <c:v>0.23517808647615149</c:v>
                </c:pt>
                <c:pt idx="1">
                  <c:v>0.31929668102676567</c:v>
                </c:pt>
                <c:pt idx="2">
                  <c:v>0.44552523249708281</c:v>
                </c:pt>
              </c:numCache>
            </c:numRef>
          </c:val>
          <c:extLst>
            <c:ext xmlns:c16="http://schemas.microsoft.com/office/drawing/2014/chart" uri="{C3380CC4-5D6E-409C-BE32-E72D297353CC}">
              <c16:uniqueId val="{00000003-E583-474A-A089-6FE8962FCF6A}"/>
            </c:ext>
          </c:extLst>
        </c:ser>
        <c:dLbls>
          <c:showLegendKey val="0"/>
          <c:showVal val="0"/>
          <c:showCatName val="0"/>
          <c:showSerName val="0"/>
          <c:showPercent val="1"/>
          <c:showBubbleSize val="0"/>
          <c:showLeaderLines val="1"/>
        </c:dLbls>
        <c:firstSliceAng val="0"/>
      </c:pieChart>
    </c:plotArea>
    <c:plotVisOnly val="1"/>
    <c:dispBlanksAs val="gap"/>
    <c:showDLblsOverMax val="0"/>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Budget by Customer Class </a:t>
            </a:r>
          </a:p>
        </c:rich>
      </c:tx>
      <c:overlay val="0"/>
    </c:title>
    <c:autoTitleDeleted val="0"/>
    <c:plotArea>
      <c:layout/>
      <c:pieChart>
        <c:varyColors val="1"/>
        <c:ser>
          <c:idx val="0"/>
          <c:order val="0"/>
          <c:dLbls>
            <c:dLbl>
              <c:idx val="0"/>
              <c:layout>
                <c:manualLayout>
                  <c:x val="0.10165323060363142"/>
                  <c:y val="6.3284617381071176E-2"/>
                </c:manualLayout>
              </c:layout>
              <c:tx>
                <c:rich>
                  <a:bodyPr wrap="square" lIns="38100" tIns="19050" rIns="38100" bIns="19050" anchor="ctr">
                    <a:spAutoFit/>
                  </a:bodyPr>
                  <a:lstStyle/>
                  <a:p>
                    <a:pPr>
                      <a:defRPr sz="1200" b="0" i="0" baseline="0">
                        <a:latin typeface="Arial" panose="020B0604020202020204" pitchFamily="34" charset="0"/>
                        <a:cs typeface="Arial" panose="020B0604020202020204" pitchFamily="34" charset="0"/>
                      </a:defRPr>
                    </a:pPr>
                    <a:r>
                      <a:rPr lang="en-US" sz="1200" b="0" i="0" baseline="0"/>
                      <a:t>Res. Income- Eligible</a:t>
                    </a:r>
                  </a:p>
                  <a:p>
                    <a:pPr>
                      <a:defRPr sz="1200" b="0" i="0" baseline="0">
                        <a:latin typeface="Arial" panose="020B0604020202020204" pitchFamily="34" charset="0"/>
                        <a:cs typeface="Arial" panose="020B0604020202020204" pitchFamily="34" charset="0"/>
                      </a:defRPr>
                    </a:pPr>
                    <a:r>
                      <a:rPr lang="en-US" sz="1200" b="0" i="0" baseline="0"/>
                      <a:t> 18.88%</a:t>
                    </a:r>
                  </a:p>
                </c:rich>
              </c:tx>
              <c:numFmt formatCode="0.00%" sourceLinked="0"/>
              <c:spPr>
                <a:noFill/>
                <a:ln>
                  <a:noFill/>
                </a:ln>
                <a:effectLst/>
              </c:spPr>
              <c:dLblPos val="bestFit"/>
              <c:showLegendKey val="0"/>
              <c:showVal val="0"/>
              <c:showCatName val="1"/>
              <c:showSerName val="0"/>
              <c:showPercent val="1"/>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00-2FF9-4D51-84F5-56843D36E8E6}"/>
                </c:ext>
              </c:extLst>
            </c:dLbl>
            <c:dLbl>
              <c:idx val="1"/>
              <c:layout>
                <c:manualLayout>
                  <c:x val="4.9203398723648296E-2"/>
                  <c:y val="-9.3660755632311202E-2"/>
                </c:manualLayout>
              </c:layout>
              <c:tx>
                <c:rich>
                  <a:bodyPr/>
                  <a:lstStyle/>
                  <a:p>
                    <a:r>
                      <a:rPr lang="en-US"/>
                      <a:t>Res. Non Income- Eligible</a:t>
                    </a:r>
                    <a:r>
                      <a:rPr lang="en-US" baseline="0"/>
                      <a:t> 37</a:t>
                    </a:r>
                    <a:r>
                      <a:rPr lang="en-US"/>
                      <a:t>.28%</a:t>
                    </a:r>
                  </a:p>
                </c:rich>
              </c:tx>
              <c:dLblPos val="bestFit"/>
              <c:showLegendKey val="0"/>
              <c:showVal val="0"/>
              <c:showCatName val="1"/>
              <c:showSerName val="0"/>
              <c:showPercent val="1"/>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01-2FF9-4D51-84F5-56843D36E8E6}"/>
                </c:ext>
              </c:extLst>
            </c:dLbl>
            <c:dLbl>
              <c:idx val="2"/>
              <c:layout>
                <c:manualLayout>
                  <c:x val="-4.7619047619047616E-2"/>
                  <c:y val="-0.12192723697148476"/>
                </c:manualLayout>
              </c:layout>
              <c:tx>
                <c:rich>
                  <a:bodyPr/>
                  <a:lstStyle/>
                  <a:p>
                    <a:r>
                      <a:rPr lang="en-US"/>
                      <a:t>Commercial and Industrial 43.84%</a:t>
                    </a:r>
                  </a:p>
                </c:rich>
              </c:tx>
              <c:dLblPos val="bestFit"/>
              <c:showLegendKey val="0"/>
              <c:showVal val="0"/>
              <c:showCatName val="1"/>
              <c:showSerName val="0"/>
              <c:showPercent val="1"/>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02-2FF9-4D51-84F5-56843D36E8E6}"/>
                </c:ext>
              </c:extLst>
            </c:dLbl>
            <c:numFmt formatCode="0.00%" sourceLinked="0"/>
            <c:spPr>
              <a:noFill/>
              <a:ln>
                <a:noFill/>
              </a:ln>
              <a:effectLst/>
            </c:spPr>
            <c:txPr>
              <a:bodyPr wrap="square" lIns="38100" tIns="19050" rIns="38100" bIns="19050" anchor="ctr">
                <a:spAutoFit/>
              </a:bodyPr>
              <a:lstStyle/>
              <a:p>
                <a:pPr>
                  <a:defRPr sz="1200" b="0" baseline="0">
                    <a:latin typeface="Arial" panose="020B0604020202020204" pitchFamily="34" charset="0"/>
                    <a:cs typeface="Arial" panose="020B0604020202020204" pitchFamily="34" charset="0"/>
                  </a:defRPr>
                </a:pPr>
                <a:endParaRPr lang="en-US"/>
              </a:p>
            </c:txPr>
            <c:dLblPos val="outEnd"/>
            <c:showLegendKey val="0"/>
            <c:showVal val="0"/>
            <c:showCatName val="1"/>
            <c:showSerName val="0"/>
            <c:showPercent val="1"/>
            <c:showBubbleSize val="0"/>
            <c:separator>, </c:separator>
            <c:showLeaderLines val="1"/>
            <c:extLst>
              <c:ext xmlns:c15="http://schemas.microsoft.com/office/drawing/2012/chart" uri="{CE6537A1-D6FC-4f65-9D91-7224C49458BB}"/>
            </c:extLst>
          </c:dLbls>
          <c:cat>
            <c:strRef>
              <c:f>('ES CT Gas 2024 Table A Pie'!$B$30:$B$31,'ES CT Gas 2024 Table A Pie'!$B$34)</c:f>
              <c:strCache>
                <c:ptCount val="3"/>
                <c:pt idx="0">
                  <c:v>Res. Income-Eligible</c:v>
                </c:pt>
                <c:pt idx="1">
                  <c:v>Res. Non Income-Eligible</c:v>
                </c:pt>
                <c:pt idx="2">
                  <c:v>Commercial and Industrial</c:v>
                </c:pt>
              </c:strCache>
            </c:strRef>
          </c:cat>
          <c:val>
            <c:numRef>
              <c:f>('ES CT Gas 2024 Table A Pie'!$F$30:$F$31,'ES CT Gas 2024 Table A Pie'!$F$34)</c:f>
              <c:numCache>
                <c:formatCode>0.00%</c:formatCode>
                <c:ptCount val="3"/>
                <c:pt idx="0">
                  <c:v>0.23425404778607153</c:v>
                </c:pt>
                <c:pt idx="1">
                  <c:v>0.32727479407429449</c:v>
                </c:pt>
                <c:pt idx="2">
                  <c:v>0.43847115813963394</c:v>
                </c:pt>
              </c:numCache>
            </c:numRef>
          </c:val>
          <c:extLst>
            <c:ext xmlns:c16="http://schemas.microsoft.com/office/drawing/2014/chart" uri="{C3380CC4-5D6E-409C-BE32-E72D297353CC}">
              <c16:uniqueId val="{00000003-2FF9-4D51-84F5-56843D36E8E6}"/>
            </c:ext>
          </c:extLst>
        </c:ser>
        <c:dLbls>
          <c:showLegendKey val="0"/>
          <c:showVal val="0"/>
          <c:showCatName val="0"/>
          <c:showSerName val="0"/>
          <c:showPercent val="1"/>
          <c:showBubbleSize val="0"/>
          <c:showLeaderLines val="1"/>
        </c:dLbls>
        <c:firstSliceAng val="0"/>
      </c:pieChart>
    </c:plotArea>
    <c:plotVisOnly val="1"/>
    <c:dispBlanksAs val="gap"/>
    <c:showDLblsOverMax val="0"/>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1275806573561021"/>
          <c:y val="0.2625002624671916"/>
          <c:w val="0.39300490492562234"/>
          <c:h val="0.47750058288645369"/>
        </c:manualLayout>
      </c:layout>
      <c:pie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821B-415E-A4E2-223C963A2715}"/>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821B-415E-A4E2-223C963A2715}"/>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4-821B-415E-A4E2-223C963A2715}"/>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6-821B-415E-A4E2-223C963A2715}"/>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8-821B-415E-A4E2-223C963A2715}"/>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A-821B-415E-A4E2-223C963A2715}"/>
              </c:ext>
            </c:extLst>
          </c:dPt>
          <c:dLbls>
            <c:dLbl>
              <c:idx val="0"/>
              <c:layout>
                <c:manualLayout>
                  <c:x val="4.4246125610832236E-2"/>
                  <c:y val="-0.12395661051582432"/>
                </c:manualLayout>
              </c:layout>
              <c:numFmt formatCode="0.0%" sourceLinked="0"/>
              <c:spPr>
                <a:noFill/>
                <a:ln w="25400">
                  <a:noFill/>
                </a:ln>
              </c:spPr>
              <c:txPr>
                <a:bodyPr/>
                <a:lstStyle/>
                <a:p>
                  <a:pPr>
                    <a:defRPr sz="1100" b="1"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821B-415E-A4E2-223C963A2715}"/>
                </c:ext>
              </c:extLst>
            </c:dLbl>
            <c:dLbl>
              <c:idx val="1"/>
              <c:layout>
                <c:manualLayout>
                  <c:x val="8.5315676549281877E-2"/>
                  <c:y val="1.4945781275082776E-2"/>
                </c:manualLayout>
              </c:layout>
              <c:numFmt formatCode="0.0%" sourceLinked="0"/>
              <c:spPr>
                <a:noFill/>
                <a:ln w="25400">
                  <a:noFill/>
                </a:ln>
              </c:spPr>
              <c:txPr>
                <a:bodyPr/>
                <a:lstStyle/>
                <a:p>
                  <a:pPr>
                    <a:defRPr sz="1100" b="1"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821B-415E-A4E2-223C963A2715}"/>
                </c:ext>
              </c:extLst>
            </c:dLbl>
            <c:dLbl>
              <c:idx val="2"/>
              <c:layout>
                <c:manualLayout>
                  <c:x val="0.11237948295648437"/>
                  <c:y val="0.19755915274308078"/>
                </c:manualLayout>
              </c:layout>
              <c:numFmt formatCode="0.0%" sourceLinked="0"/>
              <c:spPr>
                <a:noFill/>
                <a:ln w="25400">
                  <a:noFill/>
                </a:ln>
              </c:spPr>
              <c:txPr>
                <a:bodyPr/>
                <a:lstStyle/>
                <a:p>
                  <a:pPr>
                    <a:defRPr sz="1100" b="1"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821B-415E-A4E2-223C963A2715}"/>
                </c:ext>
              </c:extLst>
            </c:dLbl>
            <c:dLbl>
              <c:idx val="3"/>
              <c:layout>
                <c:manualLayout>
                  <c:x val="-8.1976356703181041E-2"/>
                  <c:y val="-3.7449624656879836E-2"/>
                </c:manualLayout>
              </c:layout>
              <c:numFmt formatCode="0.0%" sourceLinked="0"/>
              <c:spPr>
                <a:noFill/>
                <a:ln w="25400">
                  <a:noFill/>
                </a:ln>
              </c:spPr>
              <c:txPr>
                <a:bodyPr/>
                <a:lstStyle/>
                <a:p>
                  <a:pPr>
                    <a:defRPr sz="1100" b="1"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821B-415E-A4E2-223C963A2715}"/>
                </c:ext>
              </c:extLst>
            </c:dLbl>
            <c:dLbl>
              <c:idx val="4"/>
              <c:layout>
                <c:manualLayout>
                  <c:x val="-0.27366838404458704"/>
                  <c:y val="7.4859580052493435E-2"/>
                </c:manualLayout>
              </c:layout>
              <c:numFmt formatCode="0.0%" sourceLinked="0"/>
              <c:spPr>
                <a:noFill/>
                <a:ln w="25400">
                  <a:noFill/>
                </a:ln>
              </c:spPr>
              <c:txPr>
                <a:bodyPr/>
                <a:lstStyle/>
                <a:p>
                  <a:pPr>
                    <a:defRPr sz="1100" b="1"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821B-415E-A4E2-223C963A2715}"/>
                </c:ext>
              </c:extLst>
            </c:dLbl>
            <c:dLbl>
              <c:idx val="5"/>
              <c:layout>
                <c:manualLayout>
                  <c:x val="-0.19336368447771188"/>
                  <c:y val="-2.6883727034120734E-2"/>
                </c:manualLayout>
              </c:layout>
              <c:numFmt formatCode="0.0%" sourceLinked="0"/>
              <c:spPr>
                <a:noFill/>
                <a:ln w="25400">
                  <a:noFill/>
                </a:ln>
              </c:spPr>
              <c:txPr>
                <a:bodyPr/>
                <a:lstStyle/>
                <a:p>
                  <a:pPr>
                    <a:defRPr sz="1100" b="1"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A-821B-415E-A4E2-223C963A2715}"/>
                </c:ext>
              </c:extLst>
            </c:dLbl>
            <c:dLbl>
              <c:idx val="6"/>
              <c:layout>
                <c:manualLayout>
                  <c:x val="-0.11010181393475577"/>
                  <c:y val="-8.3512293791667011E-2"/>
                </c:manualLayout>
              </c:layout>
              <c:tx>
                <c:rich>
                  <a:bodyPr/>
                  <a:lstStyle/>
                  <a:p>
                    <a:r>
                      <a:rPr lang="en-US"/>
                      <a:t>Administrative Expenses
0.1%</a:t>
                    </a:r>
                  </a:p>
                </c:rich>
              </c:tx>
              <c:dLblPos val="bestFit"/>
              <c:showLegendKey val="0"/>
              <c:showVal val="0"/>
              <c:showCatName val="1"/>
              <c:showSerName val="0"/>
              <c:showPercent val="1"/>
              <c:showBubbleSize val="0"/>
              <c:extLst>
                <c:ext xmlns:c15="http://schemas.microsoft.com/office/drawing/2012/chart" uri="{CE6537A1-D6FC-4f65-9D91-7224C49458BB}">
                  <c15:layout>
                    <c:manualLayout>
                      <c:w val="0.2488467270967642"/>
                      <c:h val="0.14078568626745017"/>
                    </c:manualLayout>
                  </c15:layout>
                  <c15:showDataLabelsRange val="0"/>
                </c:ext>
                <c:ext xmlns:c16="http://schemas.microsoft.com/office/drawing/2014/chart" uri="{C3380CC4-5D6E-409C-BE32-E72D297353CC}">
                  <c16:uniqueId val="{0000000B-821B-415E-A4E2-223C963A2715}"/>
                </c:ext>
              </c:extLst>
            </c:dLbl>
            <c:dLbl>
              <c:idx val="7"/>
              <c:layout>
                <c:manualLayout>
                  <c:xMode val="edge"/>
                  <c:yMode val="edge"/>
                  <c:x val="0.28806642245857134"/>
                  <c:y val="3.000003662113845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C-821B-415E-A4E2-223C963A2715}"/>
                </c:ext>
              </c:extLst>
            </c:dLbl>
            <c:numFmt formatCode="0%" sourceLinked="0"/>
            <c:spPr>
              <a:noFill/>
              <a:ln w="25400">
                <a:noFill/>
              </a:ln>
            </c:spPr>
            <c:txPr>
              <a:bodyPr/>
              <a:lstStyle/>
              <a:p>
                <a:pPr>
                  <a:defRPr sz="1100" b="1" i="0" u="none" strike="noStrike" baseline="0">
                    <a:solidFill>
                      <a:srgbClr val="000000"/>
                    </a:solidFill>
                    <a:latin typeface="Arial"/>
                    <a:ea typeface="Arial"/>
                    <a:cs typeface="Arial"/>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'ES CT Gas 2021 Table C Pie'!$B$35:$B$41</c:f>
              <c:strCache>
                <c:ptCount val="7"/>
                <c:pt idx="0">
                  <c:v>Labor</c:v>
                </c:pt>
                <c:pt idx="1">
                  <c:v>Materials &amp; Supplies</c:v>
                </c:pt>
                <c:pt idx="2">
                  <c:v>Outside Services</c:v>
                </c:pt>
                <c:pt idx="3">
                  <c:v>Incentives</c:v>
                </c:pt>
                <c:pt idx="4">
                  <c:v>Marketing</c:v>
                </c:pt>
                <c:pt idx="5">
                  <c:v>Other</c:v>
                </c:pt>
                <c:pt idx="6">
                  <c:v>Administrative Expenses</c:v>
                </c:pt>
              </c:strCache>
            </c:strRef>
          </c:cat>
          <c:val>
            <c:numRef>
              <c:f>'ES CT Gas 2021 Table C Pie'!$C$35:$C$41</c:f>
              <c:numCache>
                <c:formatCode>_("$"* #,##0_);_("$"* \(#,##0\);_("$"* "-"_);_(@_)</c:formatCode>
                <c:ptCount val="7"/>
                <c:pt idx="0">
                  <c:v>2362239.1299935039</c:v>
                </c:pt>
                <c:pt idx="1">
                  <c:v>4684</c:v>
                </c:pt>
                <c:pt idx="2">
                  <c:v>1765690.1017716816</c:v>
                </c:pt>
                <c:pt idx="3">
                  <c:v>17348900.288234815</c:v>
                </c:pt>
                <c:pt idx="4">
                  <c:v>577158</c:v>
                </c:pt>
                <c:pt idx="5">
                  <c:v>1374434</c:v>
                </c:pt>
                <c:pt idx="6">
                  <c:v>25500</c:v>
                </c:pt>
              </c:numCache>
            </c:numRef>
          </c:val>
          <c:extLst>
            <c:ext xmlns:c16="http://schemas.microsoft.com/office/drawing/2014/chart" uri="{C3380CC4-5D6E-409C-BE32-E72D297353CC}">
              <c16:uniqueId val="{0000000D-821B-415E-A4E2-223C963A2715}"/>
            </c:ext>
          </c:extLst>
        </c:ser>
        <c:dLbls>
          <c:showLegendKey val="0"/>
          <c:showVal val="0"/>
          <c:showCatName val="0"/>
          <c:showSerName val="0"/>
          <c:showPercent val="0"/>
          <c:showBubbleSize val="0"/>
          <c:showLeaderLines val="1"/>
        </c:dLbls>
        <c:firstSliceAng val="10"/>
      </c:pie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10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1275806573561021"/>
          <c:y val="0.2625002624671916"/>
          <c:w val="0.39300490492562234"/>
          <c:h val="0.47750058288645369"/>
        </c:manualLayout>
      </c:layout>
      <c:pie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52DD-4222-A57E-174AB9589800}"/>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52DD-4222-A57E-174AB9589800}"/>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4-52DD-4222-A57E-174AB9589800}"/>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6-52DD-4222-A57E-174AB9589800}"/>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8-52DD-4222-A57E-174AB9589800}"/>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A-52DD-4222-A57E-174AB9589800}"/>
              </c:ext>
            </c:extLst>
          </c:dPt>
          <c:dLbls>
            <c:dLbl>
              <c:idx val="0"/>
              <c:layout>
                <c:manualLayout>
                  <c:x val="4.4246125610832236E-2"/>
                  <c:y val="-0.12395661051582432"/>
                </c:manualLayout>
              </c:layout>
              <c:numFmt formatCode="0.0%" sourceLinked="0"/>
              <c:spPr>
                <a:noFill/>
                <a:ln w="25400">
                  <a:noFill/>
                </a:ln>
              </c:spPr>
              <c:txPr>
                <a:bodyPr/>
                <a:lstStyle/>
                <a:p>
                  <a:pPr>
                    <a:defRPr sz="1100" b="1"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52DD-4222-A57E-174AB9589800}"/>
                </c:ext>
              </c:extLst>
            </c:dLbl>
            <c:dLbl>
              <c:idx val="1"/>
              <c:layout>
                <c:manualLayout>
                  <c:x val="8.5315676549281877E-2"/>
                  <c:y val="1.4945781275082776E-2"/>
                </c:manualLayout>
              </c:layout>
              <c:numFmt formatCode="0.0%" sourceLinked="0"/>
              <c:spPr>
                <a:noFill/>
                <a:ln w="25400">
                  <a:noFill/>
                </a:ln>
              </c:spPr>
              <c:txPr>
                <a:bodyPr/>
                <a:lstStyle/>
                <a:p>
                  <a:pPr>
                    <a:defRPr sz="1100" b="1"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52DD-4222-A57E-174AB9589800}"/>
                </c:ext>
              </c:extLst>
            </c:dLbl>
            <c:dLbl>
              <c:idx val="2"/>
              <c:layout>
                <c:manualLayout>
                  <c:x val="0.11237948295648437"/>
                  <c:y val="0.19755915274308078"/>
                </c:manualLayout>
              </c:layout>
              <c:numFmt formatCode="0.0%" sourceLinked="0"/>
              <c:spPr>
                <a:noFill/>
                <a:ln w="25400">
                  <a:noFill/>
                </a:ln>
              </c:spPr>
              <c:txPr>
                <a:bodyPr/>
                <a:lstStyle/>
                <a:p>
                  <a:pPr>
                    <a:defRPr sz="1100" b="1"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52DD-4222-A57E-174AB9589800}"/>
                </c:ext>
              </c:extLst>
            </c:dLbl>
            <c:dLbl>
              <c:idx val="3"/>
              <c:layout>
                <c:manualLayout>
                  <c:x val="-8.1976356703181041E-2"/>
                  <c:y val="-3.7449624656879836E-2"/>
                </c:manualLayout>
              </c:layout>
              <c:numFmt formatCode="0.0%" sourceLinked="0"/>
              <c:spPr>
                <a:noFill/>
                <a:ln w="25400">
                  <a:noFill/>
                </a:ln>
              </c:spPr>
              <c:txPr>
                <a:bodyPr/>
                <a:lstStyle/>
                <a:p>
                  <a:pPr>
                    <a:defRPr sz="1100" b="1"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52DD-4222-A57E-174AB9589800}"/>
                </c:ext>
              </c:extLst>
            </c:dLbl>
            <c:dLbl>
              <c:idx val="4"/>
              <c:layout>
                <c:manualLayout>
                  <c:x val="-0.27366838404458704"/>
                  <c:y val="7.4859580052493435E-2"/>
                </c:manualLayout>
              </c:layout>
              <c:numFmt formatCode="0.0%" sourceLinked="0"/>
              <c:spPr>
                <a:noFill/>
                <a:ln w="25400">
                  <a:noFill/>
                </a:ln>
              </c:spPr>
              <c:txPr>
                <a:bodyPr/>
                <a:lstStyle/>
                <a:p>
                  <a:pPr>
                    <a:defRPr sz="1100" b="1"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52DD-4222-A57E-174AB9589800}"/>
                </c:ext>
              </c:extLst>
            </c:dLbl>
            <c:dLbl>
              <c:idx val="5"/>
              <c:layout>
                <c:manualLayout>
                  <c:x val="-0.19336368447771188"/>
                  <c:y val="-2.6883727034120734E-2"/>
                </c:manualLayout>
              </c:layout>
              <c:numFmt formatCode="0.0%" sourceLinked="0"/>
              <c:spPr>
                <a:noFill/>
                <a:ln w="25400">
                  <a:noFill/>
                </a:ln>
              </c:spPr>
              <c:txPr>
                <a:bodyPr/>
                <a:lstStyle/>
                <a:p>
                  <a:pPr>
                    <a:defRPr sz="1100" b="1"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A-52DD-4222-A57E-174AB9589800}"/>
                </c:ext>
              </c:extLst>
            </c:dLbl>
            <c:dLbl>
              <c:idx val="6"/>
              <c:layout>
                <c:manualLayout>
                  <c:x val="-0.11010181393475577"/>
                  <c:y val="-8.3512293791667011E-2"/>
                </c:manualLayout>
              </c:layout>
              <c:tx>
                <c:rich>
                  <a:bodyPr/>
                  <a:lstStyle/>
                  <a:p>
                    <a:r>
                      <a:rPr lang="en-US"/>
                      <a:t>Administrative Expenses
0.1%</a:t>
                    </a:r>
                  </a:p>
                </c:rich>
              </c:tx>
              <c:dLblPos val="bestFit"/>
              <c:showLegendKey val="0"/>
              <c:showVal val="0"/>
              <c:showCatName val="1"/>
              <c:showSerName val="0"/>
              <c:showPercent val="1"/>
              <c:showBubbleSize val="0"/>
              <c:extLst>
                <c:ext xmlns:c15="http://schemas.microsoft.com/office/drawing/2012/chart" uri="{CE6537A1-D6FC-4f65-9D91-7224C49458BB}">
                  <c15:layout>
                    <c:manualLayout>
                      <c:w val="0.2488467270967642"/>
                      <c:h val="0.14078568626745017"/>
                    </c:manualLayout>
                  </c15:layout>
                  <c15:showDataLabelsRange val="0"/>
                </c:ext>
                <c:ext xmlns:c16="http://schemas.microsoft.com/office/drawing/2014/chart" uri="{C3380CC4-5D6E-409C-BE32-E72D297353CC}">
                  <c16:uniqueId val="{0000000B-52DD-4222-A57E-174AB9589800}"/>
                </c:ext>
              </c:extLst>
            </c:dLbl>
            <c:dLbl>
              <c:idx val="7"/>
              <c:layout>
                <c:manualLayout>
                  <c:xMode val="edge"/>
                  <c:yMode val="edge"/>
                  <c:x val="0.28806642245857134"/>
                  <c:y val="3.000003662113845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C-52DD-4222-A57E-174AB9589800}"/>
                </c:ext>
              </c:extLst>
            </c:dLbl>
            <c:numFmt formatCode="0%" sourceLinked="0"/>
            <c:spPr>
              <a:noFill/>
              <a:ln w="25400">
                <a:noFill/>
              </a:ln>
            </c:spPr>
            <c:txPr>
              <a:bodyPr/>
              <a:lstStyle/>
              <a:p>
                <a:pPr>
                  <a:defRPr sz="1100" b="1" i="0" u="none" strike="noStrike" baseline="0">
                    <a:solidFill>
                      <a:srgbClr val="000000"/>
                    </a:solidFill>
                    <a:latin typeface="Arial"/>
                    <a:ea typeface="Arial"/>
                    <a:cs typeface="Arial"/>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'ES CT Gas 2022 Table C Pie '!$B$35:$B$41</c:f>
              <c:strCache>
                <c:ptCount val="7"/>
                <c:pt idx="0">
                  <c:v>Labor</c:v>
                </c:pt>
                <c:pt idx="1">
                  <c:v>Materials &amp; Supplies</c:v>
                </c:pt>
                <c:pt idx="2">
                  <c:v>Outside Services</c:v>
                </c:pt>
                <c:pt idx="3">
                  <c:v>Incentives</c:v>
                </c:pt>
                <c:pt idx="4">
                  <c:v>Marketing</c:v>
                </c:pt>
                <c:pt idx="5">
                  <c:v>Other</c:v>
                </c:pt>
                <c:pt idx="6">
                  <c:v>Administrative Expenses</c:v>
                </c:pt>
              </c:strCache>
            </c:strRef>
          </c:cat>
          <c:val>
            <c:numRef>
              <c:f>'ES CT Gas 2022 Table C Pie '!$C$35:$C$41</c:f>
              <c:numCache>
                <c:formatCode>_("$"* #,##0_);_("$"* \(#,##0\);_("$"* "-"_);_(@_)</c:formatCode>
                <c:ptCount val="7"/>
                <c:pt idx="0">
                  <c:v>1911028.3872744762</c:v>
                </c:pt>
                <c:pt idx="1">
                  <c:v>3184</c:v>
                </c:pt>
                <c:pt idx="2">
                  <c:v>2206805.0577711514</c:v>
                </c:pt>
                <c:pt idx="3">
                  <c:v>11929578.686283555</c:v>
                </c:pt>
                <c:pt idx="4">
                  <c:v>753259.49865662155</c:v>
                </c:pt>
                <c:pt idx="5">
                  <c:v>1051575.3638727539</c:v>
                </c:pt>
                <c:pt idx="6">
                  <c:v>25500</c:v>
                </c:pt>
              </c:numCache>
            </c:numRef>
          </c:val>
          <c:extLst>
            <c:ext xmlns:c16="http://schemas.microsoft.com/office/drawing/2014/chart" uri="{C3380CC4-5D6E-409C-BE32-E72D297353CC}">
              <c16:uniqueId val="{0000000D-52DD-4222-A57E-174AB9589800}"/>
            </c:ext>
          </c:extLst>
        </c:ser>
        <c:dLbls>
          <c:showLegendKey val="0"/>
          <c:showVal val="0"/>
          <c:showCatName val="0"/>
          <c:showSerName val="0"/>
          <c:showPercent val="0"/>
          <c:showBubbleSize val="0"/>
          <c:showLeaderLines val="1"/>
        </c:dLbls>
        <c:firstSliceAng val="10"/>
      </c:pie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10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1275806573561021"/>
          <c:y val="0.2625002624671916"/>
          <c:w val="0.39300490492562234"/>
          <c:h val="0.47750058288645369"/>
        </c:manualLayout>
      </c:layout>
      <c:pie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C4D1-4705-839A-0E326028FBFA}"/>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C4D1-4705-839A-0E326028FBFA}"/>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4-C4D1-4705-839A-0E326028FBFA}"/>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6-C4D1-4705-839A-0E326028FBFA}"/>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8-C4D1-4705-839A-0E326028FBFA}"/>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A-C4D1-4705-839A-0E326028FBFA}"/>
              </c:ext>
            </c:extLst>
          </c:dPt>
          <c:dLbls>
            <c:dLbl>
              <c:idx val="0"/>
              <c:layout>
                <c:manualLayout>
                  <c:x val="4.4246125610832236E-2"/>
                  <c:y val="-0.12395661051582432"/>
                </c:manualLayout>
              </c:layout>
              <c:numFmt formatCode="0.0%" sourceLinked="0"/>
              <c:spPr>
                <a:noFill/>
                <a:ln w="25400">
                  <a:noFill/>
                </a:ln>
              </c:spPr>
              <c:txPr>
                <a:bodyPr/>
                <a:lstStyle/>
                <a:p>
                  <a:pPr>
                    <a:defRPr sz="1100" b="1"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C4D1-4705-839A-0E326028FBFA}"/>
                </c:ext>
              </c:extLst>
            </c:dLbl>
            <c:dLbl>
              <c:idx val="1"/>
              <c:layout>
                <c:manualLayout>
                  <c:x val="8.5315676549281877E-2"/>
                  <c:y val="1.4945781275082776E-2"/>
                </c:manualLayout>
              </c:layout>
              <c:numFmt formatCode="0.0%" sourceLinked="0"/>
              <c:spPr>
                <a:noFill/>
                <a:ln w="25400">
                  <a:noFill/>
                </a:ln>
              </c:spPr>
              <c:txPr>
                <a:bodyPr/>
                <a:lstStyle/>
                <a:p>
                  <a:pPr>
                    <a:defRPr sz="1100" b="1"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C4D1-4705-839A-0E326028FBFA}"/>
                </c:ext>
              </c:extLst>
            </c:dLbl>
            <c:dLbl>
              <c:idx val="2"/>
              <c:layout>
                <c:manualLayout>
                  <c:x val="0.11237948295648437"/>
                  <c:y val="0.19755915274308078"/>
                </c:manualLayout>
              </c:layout>
              <c:numFmt formatCode="0.0%" sourceLinked="0"/>
              <c:spPr>
                <a:noFill/>
                <a:ln w="25400">
                  <a:noFill/>
                </a:ln>
              </c:spPr>
              <c:txPr>
                <a:bodyPr/>
                <a:lstStyle/>
                <a:p>
                  <a:pPr>
                    <a:defRPr sz="1100" b="1"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C4D1-4705-839A-0E326028FBFA}"/>
                </c:ext>
              </c:extLst>
            </c:dLbl>
            <c:dLbl>
              <c:idx val="3"/>
              <c:layout>
                <c:manualLayout>
                  <c:x val="-8.1976356703181041E-2"/>
                  <c:y val="-3.7449624656879836E-2"/>
                </c:manualLayout>
              </c:layout>
              <c:numFmt formatCode="0.0%" sourceLinked="0"/>
              <c:spPr>
                <a:noFill/>
                <a:ln w="25400">
                  <a:noFill/>
                </a:ln>
              </c:spPr>
              <c:txPr>
                <a:bodyPr/>
                <a:lstStyle/>
                <a:p>
                  <a:pPr>
                    <a:defRPr sz="1100" b="1"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C4D1-4705-839A-0E326028FBFA}"/>
                </c:ext>
              </c:extLst>
            </c:dLbl>
            <c:dLbl>
              <c:idx val="4"/>
              <c:layout>
                <c:manualLayout>
                  <c:x val="-0.27366838404458704"/>
                  <c:y val="7.4859580052493435E-2"/>
                </c:manualLayout>
              </c:layout>
              <c:numFmt formatCode="0.0%" sourceLinked="0"/>
              <c:spPr>
                <a:noFill/>
                <a:ln w="25400">
                  <a:noFill/>
                </a:ln>
              </c:spPr>
              <c:txPr>
                <a:bodyPr/>
                <a:lstStyle/>
                <a:p>
                  <a:pPr>
                    <a:defRPr sz="1100" b="1"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C4D1-4705-839A-0E326028FBFA}"/>
                </c:ext>
              </c:extLst>
            </c:dLbl>
            <c:dLbl>
              <c:idx val="5"/>
              <c:layout>
                <c:manualLayout>
                  <c:x val="-0.19336368447771188"/>
                  <c:y val="-2.6883727034120734E-2"/>
                </c:manualLayout>
              </c:layout>
              <c:numFmt formatCode="0.0%" sourceLinked="0"/>
              <c:spPr>
                <a:noFill/>
                <a:ln w="25400">
                  <a:noFill/>
                </a:ln>
              </c:spPr>
              <c:txPr>
                <a:bodyPr/>
                <a:lstStyle/>
                <a:p>
                  <a:pPr>
                    <a:defRPr sz="1100" b="1"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A-C4D1-4705-839A-0E326028FBFA}"/>
                </c:ext>
              </c:extLst>
            </c:dLbl>
            <c:dLbl>
              <c:idx val="6"/>
              <c:layout>
                <c:manualLayout>
                  <c:x val="-0.11010181393475577"/>
                  <c:y val="-8.3512293791667011E-2"/>
                </c:manualLayout>
              </c:layout>
              <c:tx>
                <c:rich>
                  <a:bodyPr/>
                  <a:lstStyle/>
                  <a:p>
                    <a:r>
                      <a:rPr lang="en-US"/>
                      <a:t>Administrative Expenses
0.1%</a:t>
                    </a:r>
                  </a:p>
                </c:rich>
              </c:tx>
              <c:dLblPos val="bestFit"/>
              <c:showLegendKey val="0"/>
              <c:showVal val="0"/>
              <c:showCatName val="1"/>
              <c:showSerName val="0"/>
              <c:showPercent val="1"/>
              <c:showBubbleSize val="0"/>
              <c:extLst>
                <c:ext xmlns:c15="http://schemas.microsoft.com/office/drawing/2012/chart" uri="{CE6537A1-D6FC-4f65-9D91-7224C49458BB}">
                  <c15:layout>
                    <c:manualLayout>
                      <c:w val="0.2488467270967642"/>
                      <c:h val="0.14078568626745017"/>
                    </c:manualLayout>
                  </c15:layout>
                  <c15:showDataLabelsRange val="0"/>
                </c:ext>
                <c:ext xmlns:c16="http://schemas.microsoft.com/office/drawing/2014/chart" uri="{C3380CC4-5D6E-409C-BE32-E72D297353CC}">
                  <c16:uniqueId val="{0000000B-C4D1-4705-839A-0E326028FBFA}"/>
                </c:ext>
              </c:extLst>
            </c:dLbl>
            <c:dLbl>
              <c:idx val="7"/>
              <c:layout>
                <c:manualLayout>
                  <c:xMode val="edge"/>
                  <c:yMode val="edge"/>
                  <c:x val="0.28806642245857134"/>
                  <c:y val="3.000003662113845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C-C4D1-4705-839A-0E326028FBFA}"/>
                </c:ext>
              </c:extLst>
            </c:dLbl>
            <c:numFmt formatCode="0%" sourceLinked="0"/>
            <c:spPr>
              <a:noFill/>
              <a:ln w="25400">
                <a:noFill/>
              </a:ln>
            </c:spPr>
            <c:txPr>
              <a:bodyPr/>
              <a:lstStyle/>
              <a:p>
                <a:pPr>
                  <a:defRPr sz="1100" b="1" i="0" u="none" strike="noStrike" baseline="0">
                    <a:solidFill>
                      <a:srgbClr val="000000"/>
                    </a:solidFill>
                    <a:latin typeface="Arial"/>
                    <a:ea typeface="Arial"/>
                    <a:cs typeface="Arial"/>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'ES CT Gas 2023 Table C Pie'!$B$35:$B$41</c:f>
              <c:strCache>
                <c:ptCount val="7"/>
                <c:pt idx="0">
                  <c:v>Labor</c:v>
                </c:pt>
                <c:pt idx="1">
                  <c:v>Materials &amp; Supplies</c:v>
                </c:pt>
                <c:pt idx="2">
                  <c:v>Outside Services</c:v>
                </c:pt>
                <c:pt idx="3">
                  <c:v>Incentives</c:v>
                </c:pt>
                <c:pt idx="4">
                  <c:v>Marketing</c:v>
                </c:pt>
                <c:pt idx="5">
                  <c:v>Other</c:v>
                </c:pt>
                <c:pt idx="6">
                  <c:v>Administrative Expenses</c:v>
                </c:pt>
              </c:strCache>
            </c:strRef>
          </c:cat>
          <c:val>
            <c:numRef>
              <c:f>'ES CT Gas 2023 Table C Pie'!$C$35:$C$41</c:f>
              <c:numCache>
                <c:formatCode>_("$"* #,##0_);_("$"* \(#,##0\);_("$"* "-"_);_(@_)</c:formatCode>
                <c:ptCount val="7"/>
                <c:pt idx="0">
                  <c:v>2400680.2998332758</c:v>
                </c:pt>
                <c:pt idx="1">
                  <c:v>3184</c:v>
                </c:pt>
                <c:pt idx="2">
                  <c:v>2420606.8656778964</c:v>
                </c:pt>
                <c:pt idx="3">
                  <c:v>16655716.945818011</c:v>
                </c:pt>
                <c:pt idx="4">
                  <c:v>740259.49865662155</c:v>
                </c:pt>
                <c:pt idx="5">
                  <c:v>1322405.3638727539</c:v>
                </c:pt>
                <c:pt idx="6">
                  <c:v>25500</c:v>
                </c:pt>
              </c:numCache>
            </c:numRef>
          </c:val>
          <c:extLst>
            <c:ext xmlns:c16="http://schemas.microsoft.com/office/drawing/2014/chart" uri="{C3380CC4-5D6E-409C-BE32-E72D297353CC}">
              <c16:uniqueId val="{0000000D-C4D1-4705-839A-0E326028FBFA}"/>
            </c:ext>
          </c:extLst>
        </c:ser>
        <c:dLbls>
          <c:showLegendKey val="0"/>
          <c:showVal val="0"/>
          <c:showCatName val="0"/>
          <c:showSerName val="0"/>
          <c:showPercent val="0"/>
          <c:showBubbleSize val="0"/>
          <c:showLeaderLines val="1"/>
        </c:dLbls>
        <c:firstSliceAng val="10"/>
      </c:pie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10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1275806573561021"/>
          <c:y val="0.2625002624671916"/>
          <c:w val="0.39300490492562234"/>
          <c:h val="0.47750058288645369"/>
        </c:manualLayout>
      </c:layout>
      <c:pie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9853-4AE1-BDA4-1831D85ABB8C}"/>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9853-4AE1-BDA4-1831D85ABB8C}"/>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4-9853-4AE1-BDA4-1831D85ABB8C}"/>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6-9853-4AE1-BDA4-1831D85ABB8C}"/>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8-9853-4AE1-BDA4-1831D85ABB8C}"/>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A-9853-4AE1-BDA4-1831D85ABB8C}"/>
              </c:ext>
            </c:extLst>
          </c:dPt>
          <c:dLbls>
            <c:dLbl>
              <c:idx val="0"/>
              <c:layout>
                <c:manualLayout>
                  <c:x val="4.4246125610832236E-2"/>
                  <c:y val="-0.12395661051582432"/>
                </c:manualLayout>
              </c:layout>
              <c:numFmt formatCode="0.0%" sourceLinked="0"/>
              <c:spPr>
                <a:noFill/>
                <a:ln w="25400">
                  <a:noFill/>
                </a:ln>
              </c:spPr>
              <c:txPr>
                <a:bodyPr/>
                <a:lstStyle/>
                <a:p>
                  <a:pPr>
                    <a:defRPr sz="1100" b="1"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9853-4AE1-BDA4-1831D85ABB8C}"/>
                </c:ext>
              </c:extLst>
            </c:dLbl>
            <c:dLbl>
              <c:idx val="1"/>
              <c:layout>
                <c:manualLayout>
                  <c:x val="8.5315676549281877E-2"/>
                  <c:y val="1.4945781275082776E-2"/>
                </c:manualLayout>
              </c:layout>
              <c:numFmt formatCode="0.0%" sourceLinked="0"/>
              <c:spPr>
                <a:noFill/>
                <a:ln w="25400">
                  <a:noFill/>
                </a:ln>
              </c:spPr>
              <c:txPr>
                <a:bodyPr/>
                <a:lstStyle/>
                <a:p>
                  <a:pPr>
                    <a:defRPr sz="1100" b="1"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9853-4AE1-BDA4-1831D85ABB8C}"/>
                </c:ext>
              </c:extLst>
            </c:dLbl>
            <c:dLbl>
              <c:idx val="2"/>
              <c:layout>
                <c:manualLayout>
                  <c:x val="0.11237948295648437"/>
                  <c:y val="0.19755915274308078"/>
                </c:manualLayout>
              </c:layout>
              <c:numFmt formatCode="0.0%" sourceLinked="0"/>
              <c:spPr>
                <a:noFill/>
                <a:ln w="25400">
                  <a:noFill/>
                </a:ln>
              </c:spPr>
              <c:txPr>
                <a:bodyPr/>
                <a:lstStyle/>
                <a:p>
                  <a:pPr>
                    <a:defRPr sz="1100" b="1"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9853-4AE1-BDA4-1831D85ABB8C}"/>
                </c:ext>
              </c:extLst>
            </c:dLbl>
            <c:dLbl>
              <c:idx val="3"/>
              <c:layout>
                <c:manualLayout>
                  <c:x val="-8.1976356703181041E-2"/>
                  <c:y val="-3.7449624656879836E-2"/>
                </c:manualLayout>
              </c:layout>
              <c:numFmt formatCode="0.0%" sourceLinked="0"/>
              <c:spPr>
                <a:noFill/>
                <a:ln w="25400">
                  <a:noFill/>
                </a:ln>
              </c:spPr>
              <c:txPr>
                <a:bodyPr/>
                <a:lstStyle/>
                <a:p>
                  <a:pPr>
                    <a:defRPr sz="1100" b="1"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9853-4AE1-BDA4-1831D85ABB8C}"/>
                </c:ext>
              </c:extLst>
            </c:dLbl>
            <c:dLbl>
              <c:idx val="4"/>
              <c:layout>
                <c:manualLayout>
                  <c:x val="-0.27366838404458704"/>
                  <c:y val="7.4859580052493435E-2"/>
                </c:manualLayout>
              </c:layout>
              <c:numFmt formatCode="0.0%" sourceLinked="0"/>
              <c:spPr>
                <a:noFill/>
                <a:ln w="25400">
                  <a:noFill/>
                </a:ln>
              </c:spPr>
              <c:txPr>
                <a:bodyPr/>
                <a:lstStyle/>
                <a:p>
                  <a:pPr>
                    <a:defRPr sz="1100" b="1"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9853-4AE1-BDA4-1831D85ABB8C}"/>
                </c:ext>
              </c:extLst>
            </c:dLbl>
            <c:dLbl>
              <c:idx val="5"/>
              <c:layout>
                <c:manualLayout>
                  <c:x val="-0.19336368447771188"/>
                  <c:y val="-2.6883727034120734E-2"/>
                </c:manualLayout>
              </c:layout>
              <c:numFmt formatCode="0.0%" sourceLinked="0"/>
              <c:spPr>
                <a:noFill/>
                <a:ln w="25400">
                  <a:noFill/>
                </a:ln>
              </c:spPr>
              <c:txPr>
                <a:bodyPr/>
                <a:lstStyle/>
                <a:p>
                  <a:pPr>
                    <a:defRPr sz="1100" b="1"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A-9853-4AE1-BDA4-1831D85ABB8C}"/>
                </c:ext>
              </c:extLst>
            </c:dLbl>
            <c:dLbl>
              <c:idx val="6"/>
              <c:layout>
                <c:manualLayout>
                  <c:x val="-0.11010181393475577"/>
                  <c:y val="-8.3512293791667011E-2"/>
                </c:manualLayout>
              </c:layout>
              <c:tx>
                <c:rich>
                  <a:bodyPr/>
                  <a:lstStyle/>
                  <a:p>
                    <a:r>
                      <a:rPr lang="en-US"/>
                      <a:t>Administrative Expenses
0.1%</a:t>
                    </a:r>
                  </a:p>
                </c:rich>
              </c:tx>
              <c:dLblPos val="bestFit"/>
              <c:showLegendKey val="0"/>
              <c:showVal val="0"/>
              <c:showCatName val="1"/>
              <c:showSerName val="0"/>
              <c:showPercent val="1"/>
              <c:showBubbleSize val="0"/>
              <c:extLst>
                <c:ext xmlns:c15="http://schemas.microsoft.com/office/drawing/2012/chart" uri="{CE6537A1-D6FC-4f65-9D91-7224C49458BB}">
                  <c15:layout>
                    <c:manualLayout>
                      <c:w val="0.2488467270967642"/>
                      <c:h val="0.14078568626745017"/>
                    </c:manualLayout>
                  </c15:layout>
                  <c15:showDataLabelsRange val="0"/>
                </c:ext>
                <c:ext xmlns:c16="http://schemas.microsoft.com/office/drawing/2014/chart" uri="{C3380CC4-5D6E-409C-BE32-E72D297353CC}">
                  <c16:uniqueId val="{0000000B-9853-4AE1-BDA4-1831D85ABB8C}"/>
                </c:ext>
              </c:extLst>
            </c:dLbl>
            <c:dLbl>
              <c:idx val="7"/>
              <c:layout>
                <c:manualLayout>
                  <c:xMode val="edge"/>
                  <c:yMode val="edge"/>
                  <c:x val="0.28806642245857134"/>
                  <c:y val="3.000003662113845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C-9853-4AE1-BDA4-1831D85ABB8C}"/>
                </c:ext>
              </c:extLst>
            </c:dLbl>
            <c:numFmt formatCode="0%" sourceLinked="0"/>
            <c:spPr>
              <a:noFill/>
              <a:ln w="25400">
                <a:noFill/>
              </a:ln>
            </c:spPr>
            <c:txPr>
              <a:bodyPr/>
              <a:lstStyle/>
              <a:p>
                <a:pPr>
                  <a:defRPr sz="1100" b="1" i="0" u="none" strike="noStrike" baseline="0">
                    <a:solidFill>
                      <a:srgbClr val="000000"/>
                    </a:solidFill>
                    <a:latin typeface="Arial"/>
                    <a:ea typeface="Arial"/>
                    <a:cs typeface="Arial"/>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'ES CT Gas 2024 Table C Pie '!$B$35:$B$41</c:f>
              <c:strCache>
                <c:ptCount val="7"/>
                <c:pt idx="0">
                  <c:v>Labor</c:v>
                </c:pt>
                <c:pt idx="1">
                  <c:v>Materials &amp; Supplies</c:v>
                </c:pt>
                <c:pt idx="2">
                  <c:v>Outside Services</c:v>
                </c:pt>
                <c:pt idx="3">
                  <c:v>Incentives</c:v>
                </c:pt>
                <c:pt idx="4">
                  <c:v>Marketing</c:v>
                </c:pt>
                <c:pt idx="5">
                  <c:v>Other</c:v>
                </c:pt>
                <c:pt idx="6">
                  <c:v>Administrative Expenses</c:v>
                </c:pt>
              </c:strCache>
            </c:strRef>
          </c:cat>
          <c:val>
            <c:numRef>
              <c:f>'ES CT Gas 2024 Table C Pie '!$C$35:$C$41</c:f>
              <c:numCache>
                <c:formatCode>_("$"* #,##0_);_("$"* \(#,##0\);_("$"* "-"_);_(@_)</c:formatCode>
                <c:ptCount val="7"/>
                <c:pt idx="0">
                  <c:v>2496955.6597688389</c:v>
                </c:pt>
                <c:pt idx="1">
                  <c:v>3184</c:v>
                </c:pt>
                <c:pt idx="2">
                  <c:v>2289314.8678218434</c:v>
                </c:pt>
                <c:pt idx="3">
                  <c:v>17030842.38231536</c:v>
                </c:pt>
                <c:pt idx="4">
                  <c:v>753259.49865662155</c:v>
                </c:pt>
                <c:pt idx="5">
                  <c:v>1340060.574210254</c:v>
                </c:pt>
                <c:pt idx="6">
                  <c:v>25500</c:v>
                </c:pt>
              </c:numCache>
            </c:numRef>
          </c:val>
          <c:extLst>
            <c:ext xmlns:c16="http://schemas.microsoft.com/office/drawing/2014/chart" uri="{C3380CC4-5D6E-409C-BE32-E72D297353CC}">
              <c16:uniqueId val="{0000000D-9853-4AE1-BDA4-1831D85ABB8C}"/>
            </c:ext>
          </c:extLst>
        </c:ser>
        <c:dLbls>
          <c:showLegendKey val="0"/>
          <c:showVal val="0"/>
          <c:showCatName val="0"/>
          <c:showSerName val="0"/>
          <c:showPercent val="0"/>
          <c:showBubbleSize val="0"/>
          <c:showLeaderLines val="1"/>
        </c:dLbls>
        <c:firstSliceAng val="10"/>
      </c:pie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10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sz="1400"/>
              <a:t>Incentive $ Earned vs Performance Achieved</a:t>
            </a:r>
          </a:p>
        </c:rich>
      </c:tx>
      <c:layout>
        <c:manualLayout>
          <c:xMode val="edge"/>
          <c:yMode val="edge"/>
          <c:x val="0.29256636626715365"/>
          <c:y val="2.9850746268656716E-2"/>
        </c:manualLayout>
      </c:layout>
      <c:overlay val="0"/>
      <c:spPr>
        <a:noFill/>
        <a:ln w="25400">
          <a:noFill/>
        </a:ln>
      </c:spPr>
    </c:title>
    <c:autoTitleDeleted val="0"/>
    <c:plotArea>
      <c:layout>
        <c:manualLayout>
          <c:layoutTarget val="inner"/>
          <c:xMode val="edge"/>
          <c:yMode val="edge"/>
          <c:x val="0.13069559668155711"/>
          <c:y val="0.1455223880597015"/>
          <c:w val="0.84292664648747384"/>
          <c:h val="0.75932835820895528"/>
        </c:manualLayout>
      </c:layout>
      <c:scatterChart>
        <c:scatterStyle val="smoothMarker"/>
        <c:varyColors val="0"/>
        <c:ser>
          <c:idx val="0"/>
          <c:order val="0"/>
          <c:tx>
            <c:strRef>
              <c:f>'2021 ES CT PMI'!$B$6</c:f>
              <c:strCache>
                <c:ptCount val="1"/>
                <c:pt idx="0">
                  <c:v>Performance %
Minimum</c:v>
                </c:pt>
              </c:strCache>
            </c:strRef>
          </c:tx>
          <c:spPr>
            <a:ln w="41275">
              <a:solidFill>
                <a:schemeClr val="tx2">
                  <a:lumMod val="60000"/>
                  <a:lumOff val="40000"/>
                </a:schemeClr>
              </a:solidFill>
              <a:prstDash val="solid"/>
            </a:ln>
          </c:spPr>
          <c:marker>
            <c:spPr>
              <a:solidFill>
                <a:schemeClr val="tx1"/>
              </a:solidFill>
            </c:spPr>
          </c:marker>
          <c:xVal>
            <c:numRef>
              <c:f>'2021 ES CT PMI'!$B$7:$B$14</c:f>
              <c:numCache>
                <c:formatCode>General</c:formatCode>
                <c:ptCount val="8"/>
                <c:pt idx="0">
                  <c:v>75</c:v>
                </c:pt>
                <c:pt idx="1">
                  <c:v>85</c:v>
                </c:pt>
                <c:pt idx="2">
                  <c:v>95</c:v>
                </c:pt>
                <c:pt idx="3">
                  <c:v>100</c:v>
                </c:pt>
                <c:pt idx="4">
                  <c:v>105</c:v>
                </c:pt>
                <c:pt idx="5">
                  <c:v>115</c:v>
                </c:pt>
                <c:pt idx="6">
                  <c:v>125</c:v>
                </c:pt>
                <c:pt idx="7">
                  <c:v>135</c:v>
                </c:pt>
              </c:numCache>
            </c:numRef>
          </c:xVal>
          <c:yVal>
            <c:numRef>
              <c:f>'2021 ES CT PMI'!$D$7:$D$14</c:f>
              <c:numCache>
                <c:formatCode>"$"#,##0</c:formatCode>
                <c:ptCount val="8"/>
                <c:pt idx="0">
                  <c:v>440788.74439999997</c:v>
                </c:pt>
                <c:pt idx="1">
                  <c:v>661183.11659999995</c:v>
                </c:pt>
                <c:pt idx="2">
                  <c:v>881577.48879999993</c:v>
                </c:pt>
                <c:pt idx="3">
                  <c:v>991774.67489999987</c:v>
                </c:pt>
                <c:pt idx="4">
                  <c:v>1101971.861</c:v>
                </c:pt>
                <c:pt idx="5">
                  <c:v>1322366.2331999999</c:v>
                </c:pt>
                <c:pt idx="6">
                  <c:v>1542760.6054</c:v>
                </c:pt>
                <c:pt idx="7">
                  <c:v>1763154.9775999999</c:v>
                </c:pt>
              </c:numCache>
            </c:numRef>
          </c:yVal>
          <c:smooth val="1"/>
          <c:extLst>
            <c:ext xmlns:c16="http://schemas.microsoft.com/office/drawing/2014/chart" uri="{C3380CC4-5D6E-409C-BE32-E72D297353CC}">
              <c16:uniqueId val="{00000000-3729-48F9-BD0B-4B605EDAE726}"/>
            </c:ext>
          </c:extLst>
        </c:ser>
        <c:dLbls>
          <c:showLegendKey val="0"/>
          <c:showVal val="0"/>
          <c:showCatName val="0"/>
          <c:showSerName val="0"/>
          <c:showPercent val="0"/>
          <c:showBubbleSize val="0"/>
        </c:dLbls>
        <c:axId val="117820032"/>
        <c:axId val="117826688"/>
      </c:scatterChart>
      <c:valAx>
        <c:axId val="117820032"/>
        <c:scaling>
          <c:orientation val="minMax"/>
          <c:max val="140"/>
          <c:min val="70"/>
        </c:scaling>
        <c:delete val="0"/>
        <c:axPos val="b"/>
        <c:title>
          <c:tx>
            <c:rich>
              <a:bodyPr/>
              <a:lstStyle/>
              <a:p>
                <a:pPr>
                  <a:defRPr sz="950" b="1" i="0" u="none" strike="noStrike" baseline="0">
                    <a:solidFill>
                      <a:srgbClr val="000000"/>
                    </a:solidFill>
                    <a:latin typeface="Arial"/>
                    <a:ea typeface="Arial"/>
                    <a:cs typeface="Arial"/>
                  </a:defRPr>
                </a:pPr>
                <a:r>
                  <a:rPr lang="en-US" sz="1200"/>
                  <a:t>Performance Achieved % of Target</a:t>
                </a:r>
              </a:p>
            </c:rich>
          </c:tx>
          <c:layout>
            <c:manualLayout>
              <c:xMode val="edge"/>
              <c:yMode val="edge"/>
              <c:x val="0.38442703694601382"/>
              <c:y val="0.95021419478886626"/>
            </c:manualLayout>
          </c:layout>
          <c:overlay val="0"/>
          <c:spPr>
            <a:noFill/>
            <a:ln w="25400">
              <a:noFill/>
            </a:ln>
          </c:spPr>
        </c:title>
        <c:numFmt formatCode="General" sourceLinked="1"/>
        <c:majorTickMark val="out"/>
        <c:minorTickMark val="none"/>
        <c:tickLblPos val="nextTo"/>
        <c:crossAx val="117826688"/>
        <c:crosses val="autoZero"/>
        <c:crossBetween val="midCat"/>
        <c:majorUnit val="10"/>
        <c:minorUnit val="5"/>
      </c:valAx>
      <c:valAx>
        <c:axId val="117826688"/>
        <c:scaling>
          <c:orientation val="minMax"/>
        </c:scaling>
        <c:delete val="0"/>
        <c:axPos val="l"/>
        <c:majorGridlines>
          <c:spPr>
            <a:ln w="3175">
              <a:solidFill>
                <a:srgbClr val="000000"/>
              </a:solidFill>
              <a:prstDash val="solid"/>
            </a:ln>
          </c:spPr>
        </c:majorGridlines>
        <c:title>
          <c:tx>
            <c:rich>
              <a:bodyPr/>
              <a:lstStyle/>
              <a:p>
                <a:pPr>
                  <a:defRPr sz="950" b="1" i="0" u="none" strike="noStrike" baseline="0">
                    <a:solidFill>
                      <a:srgbClr val="000000"/>
                    </a:solidFill>
                    <a:latin typeface="Arial"/>
                    <a:ea typeface="Arial"/>
                    <a:cs typeface="Arial"/>
                  </a:defRPr>
                </a:pPr>
                <a:r>
                  <a:rPr lang="en-US" sz="1200"/>
                  <a:t>Incentive $ Earned</a:t>
                </a:r>
              </a:p>
            </c:rich>
          </c:tx>
          <c:layout>
            <c:manualLayout>
              <c:xMode val="edge"/>
              <c:yMode val="edge"/>
              <c:x val="1.4846040849659608E-2"/>
              <c:y val="0.4377897618648726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25" b="0" i="0" u="none" strike="noStrike" baseline="0">
                <a:solidFill>
                  <a:srgbClr val="000000"/>
                </a:solidFill>
                <a:latin typeface="Arial"/>
                <a:ea typeface="Arial"/>
                <a:cs typeface="Arial"/>
              </a:defRPr>
            </a:pPr>
            <a:endParaRPr lang="en-US"/>
          </a:p>
        </c:txPr>
        <c:crossAx val="117820032"/>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portrait"/>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sz="1400"/>
              <a:t>Incentive $ Earned vs Performance Achieved</a:t>
            </a:r>
          </a:p>
        </c:rich>
      </c:tx>
      <c:layout>
        <c:manualLayout>
          <c:xMode val="edge"/>
          <c:yMode val="edge"/>
          <c:x val="0.29256636626715365"/>
          <c:y val="2.9850746268656716E-2"/>
        </c:manualLayout>
      </c:layout>
      <c:overlay val="0"/>
      <c:spPr>
        <a:noFill/>
        <a:ln w="25400">
          <a:noFill/>
        </a:ln>
      </c:spPr>
    </c:title>
    <c:autoTitleDeleted val="0"/>
    <c:plotArea>
      <c:layout>
        <c:manualLayout>
          <c:layoutTarget val="inner"/>
          <c:xMode val="edge"/>
          <c:yMode val="edge"/>
          <c:x val="0.13069559668155711"/>
          <c:y val="0.1455223880597015"/>
          <c:w val="0.84292664648747384"/>
          <c:h val="0.75932835820895528"/>
        </c:manualLayout>
      </c:layout>
      <c:scatterChart>
        <c:scatterStyle val="smoothMarker"/>
        <c:varyColors val="0"/>
        <c:ser>
          <c:idx val="0"/>
          <c:order val="0"/>
          <c:tx>
            <c:strRef>
              <c:f>'2022 ES CT PMI'!$B$6</c:f>
              <c:strCache>
                <c:ptCount val="1"/>
                <c:pt idx="0">
                  <c:v>Performance %
Minimum</c:v>
                </c:pt>
              </c:strCache>
            </c:strRef>
          </c:tx>
          <c:spPr>
            <a:ln w="41275">
              <a:solidFill>
                <a:schemeClr val="tx2">
                  <a:lumMod val="60000"/>
                  <a:lumOff val="40000"/>
                </a:schemeClr>
              </a:solidFill>
              <a:prstDash val="solid"/>
            </a:ln>
          </c:spPr>
          <c:marker>
            <c:spPr>
              <a:solidFill>
                <a:schemeClr val="tx1"/>
              </a:solidFill>
            </c:spPr>
          </c:marker>
          <c:xVal>
            <c:numRef>
              <c:f>'2022 ES CT PMI'!$B$7:$B$14</c:f>
              <c:numCache>
                <c:formatCode>General</c:formatCode>
                <c:ptCount val="8"/>
                <c:pt idx="0">
                  <c:v>75</c:v>
                </c:pt>
                <c:pt idx="1">
                  <c:v>85</c:v>
                </c:pt>
                <c:pt idx="2">
                  <c:v>95</c:v>
                </c:pt>
                <c:pt idx="3">
                  <c:v>100</c:v>
                </c:pt>
                <c:pt idx="4">
                  <c:v>105</c:v>
                </c:pt>
                <c:pt idx="5">
                  <c:v>115</c:v>
                </c:pt>
                <c:pt idx="6">
                  <c:v>125</c:v>
                </c:pt>
                <c:pt idx="7">
                  <c:v>135</c:v>
                </c:pt>
              </c:numCache>
            </c:numRef>
          </c:xVal>
          <c:yVal>
            <c:numRef>
              <c:f>'2022 ES CT PMI'!$D$7:$D$14</c:f>
              <c:numCache>
                <c:formatCode>"$"#,##0</c:formatCode>
                <c:ptCount val="8"/>
                <c:pt idx="0">
                  <c:v>423523.59984646394</c:v>
                </c:pt>
                <c:pt idx="1">
                  <c:v>592933.03978504951</c:v>
                </c:pt>
                <c:pt idx="2">
                  <c:v>762342.47972363501</c:v>
                </c:pt>
                <c:pt idx="3">
                  <c:v>847047.19969292788</c:v>
                </c:pt>
                <c:pt idx="4">
                  <c:v>896175.93727511773</c:v>
                </c:pt>
                <c:pt idx="5">
                  <c:v>992739.31804011145</c:v>
                </c:pt>
                <c:pt idx="6">
                  <c:v>1089302.6988051052</c:v>
                </c:pt>
                <c:pt idx="7">
                  <c:v>1185866.079570099</c:v>
                </c:pt>
              </c:numCache>
            </c:numRef>
          </c:yVal>
          <c:smooth val="1"/>
          <c:extLst>
            <c:ext xmlns:c16="http://schemas.microsoft.com/office/drawing/2014/chart" uri="{C3380CC4-5D6E-409C-BE32-E72D297353CC}">
              <c16:uniqueId val="{00000000-A126-4388-B018-3EE9FCD14017}"/>
            </c:ext>
          </c:extLst>
        </c:ser>
        <c:dLbls>
          <c:showLegendKey val="0"/>
          <c:showVal val="0"/>
          <c:showCatName val="0"/>
          <c:showSerName val="0"/>
          <c:showPercent val="0"/>
          <c:showBubbleSize val="0"/>
        </c:dLbls>
        <c:axId val="117820032"/>
        <c:axId val="117826688"/>
      </c:scatterChart>
      <c:valAx>
        <c:axId val="117820032"/>
        <c:scaling>
          <c:orientation val="minMax"/>
          <c:max val="140"/>
          <c:min val="70"/>
        </c:scaling>
        <c:delete val="0"/>
        <c:axPos val="b"/>
        <c:title>
          <c:tx>
            <c:rich>
              <a:bodyPr/>
              <a:lstStyle/>
              <a:p>
                <a:pPr>
                  <a:defRPr sz="950" b="1" i="0" u="none" strike="noStrike" baseline="0">
                    <a:solidFill>
                      <a:srgbClr val="000000"/>
                    </a:solidFill>
                    <a:latin typeface="Arial"/>
                    <a:ea typeface="Arial"/>
                    <a:cs typeface="Arial"/>
                  </a:defRPr>
                </a:pPr>
                <a:r>
                  <a:rPr lang="en-US" sz="1200"/>
                  <a:t>Performance Achieved % of Target</a:t>
                </a:r>
              </a:p>
            </c:rich>
          </c:tx>
          <c:layout>
            <c:manualLayout>
              <c:xMode val="edge"/>
              <c:yMode val="edge"/>
              <c:x val="0.38442703694601382"/>
              <c:y val="0.95021419478886626"/>
            </c:manualLayout>
          </c:layout>
          <c:overlay val="0"/>
          <c:spPr>
            <a:noFill/>
            <a:ln w="25400">
              <a:noFill/>
            </a:ln>
          </c:spPr>
        </c:title>
        <c:numFmt formatCode="General" sourceLinked="1"/>
        <c:majorTickMark val="out"/>
        <c:minorTickMark val="none"/>
        <c:tickLblPos val="nextTo"/>
        <c:crossAx val="117826688"/>
        <c:crosses val="autoZero"/>
        <c:crossBetween val="midCat"/>
        <c:majorUnit val="10"/>
        <c:minorUnit val="5"/>
      </c:valAx>
      <c:valAx>
        <c:axId val="117826688"/>
        <c:scaling>
          <c:orientation val="minMax"/>
        </c:scaling>
        <c:delete val="0"/>
        <c:axPos val="l"/>
        <c:majorGridlines>
          <c:spPr>
            <a:ln w="3175">
              <a:solidFill>
                <a:srgbClr val="000000"/>
              </a:solidFill>
              <a:prstDash val="solid"/>
            </a:ln>
          </c:spPr>
        </c:majorGridlines>
        <c:title>
          <c:tx>
            <c:rich>
              <a:bodyPr/>
              <a:lstStyle/>
              <a:p>
                <a:pPr>
                  <a:defRPr sz="950" b="1" i="0" u="none" strike="noStrike" baseline="0">
                    <a:solidFill>
                      <a:srgbClr val="000000"/>
                    </a:solidFill>
                    <a:latin typeface="Arial"/>
                    <a:ea typeface="Arial"/>
                    <a:cs typeface="Arial"/>
                  </a:defRPr>
                </a:pPr>
                <a:r>
                  <a:rPr lang="en-US" sz="1200"/>
                  <a:t>Incentive $ Earned</a:t>
                </a:r>
              </a:p>
            </c:rich>
          </c:tx>
          <c:layout>
            <c:manualLayout>
              <c:xMode val="edge"/>
              <c:yMode val="edge"/>
              <c:x val="1.4846040849659608E-2"/>
              <c:y val="0.4377897618648726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25" b="0" i="0" u="none" strike="noStrike" baseline="0">
                <a:solidFill>
                  <a:srgbClr val="000000"/>
                </a:solidFill>
                <a:latin typeface="Arial"/>
                <a:ea typeface="Arial"/>
                <a:cs typeface="Arial"/>
              </a:defRPr>
            </a:pPr>
            <a:endParaRPr lang="en-US"/>
          </a:p>
        </c:txPr>
        <c:crossAx val="117820032"/>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portrait"/>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sz="1400"/>
              <a:t>Incentive $ Earned vs Performance Achieved</a:t>
            </a:r>
          </a:p>
        </c:rich>
      </c:tx>
      <c:layout>
        <c:manualLayout>
          <c:xMode val="edge"/>
          <c:yMode val="edge"/>
          <c:x val="0.29256636626715365"/>
          <c:y val="2.9850746268656716E-2"/>
        </c:manualLayout>
      </c:layout>
      <c:overlay val="0"/>
      <c:spPr>
        <a:noFill/>
        <a:ln w="25400">
          <a:noFill/>
        </a:ln>
      </c:spPr>
    </c:title>
    <c:autoTitleDeleted val="0"/>
    <c:plotArea>
      <c:layout>
        <c:manualLayout>
          <c:layoutTarget val="inner"/>
          <c:xMode val="edge"/>
          <c:yMode val="edge"/>
          <c:x val="0.13069559668155711"/>
          <c:y val="0.1455223880597015"/>
          <c:w val="0.84292664648747384"/>
          <c:h val="0.75932835820895528"/>
        </c:manualLayout>
      </c:layout>
      <c:scatterChart>
        <c:scatterStyle val="smoothMarker"/>
        <c:varyColors val="0"/>
        <c:ser>
          <c:idx val="0"/>
          <c:order val="0"/>
          <c:tx>
            <c:strRef>
              <c:f>'2023 ES CT PMI'!$B$6</c:f>
              <c:strCache>
                <c:ptCount val="1"/>
                <c:pt idx="0">
                  <c:v>Performance %
Minimum</c:v>
                </c:pt>
              </c:strCache>
            </c:strRef>
          </c:tx>
          <c:spPr>
            <a:ln w="41275">
              <a:solidFill>
                <a:schemeClr val="tx2">
                  <a:lumMod val="60000"/>
                  <a:lumOff val="40000"/>
                </a:schemeClr>
              </a:solidFill>
              <a:prstDash val="solid"/>
            </a:ln>
          </c:spPr>
          <c:marker>
            <c:spPr>
              <a:solidFill>
                <a:schemeClr val="tx1"/>
              </a:solidFill>
            </c:spPr>
          </c:marker>
          <c:xVal>
            <c:numRef>
              <c:f>'2023 ES CT PMI'!$B$7:$B$14</c:f>
              <c:numCache>
                <c:formatCode>General</c:formatCode>
                <c:ptCount val="8"/>
                <c:pt idx="0">
                  <c:v>75</c:v>
                </c:pt>
                <c:pt idx="1">
                  <c:v>85</c:v>
                </c:pt>
                <c:pt idx="2">
                  <c:v>95</c:v>
                </c:pt>
                <c:pt idx="3">
                  <c:v>100</c:v>
                </c:pt>
                <c:pt idx="4">
                  <c:v>105</c:v>
                </c:pt>
                <c:pt idx="5">
                  <c:v>115</c:v>
                </c:pt>
                <c:pt idx="6">
                  <c:v>125</c:v>
                </c:pt>
                <c:pt idx="7">
                  <c:v>135</c:v>
                </c:pt>
              </c:numCache>
            </c:numRef>
          </c:xVal>
          <c:yVal>
            <c:numRef>
              <c:f>'2023 ES CT PMI'!$D$7:$D$14</c:f>
              <c:numCache>
                <c:formatCode>"$"#,##0</c:formatCode>
                <c:ptCount val="8"/>
                <c:pt idx="0">
                  <c:v>558938.39934646408</c:v>
                </c:pt>
                <c:pt idx="1">
                  <c:v>782513.75908504974</c:v>
                </c:pt>
                <c:pt idx="2">
                  <c:v>1006089.1188236353</c:v>
                </c:pt>
                <c:pt idx="3">
                  <c:v>1117876.7986929282</c:v>
                </c:pt>
                <c:pt idx="4">
                  <c:v>1182713.6530171179</c:v>
                </c:pt>
                <c:pt idx="5">
                  <c:v>1310151.6080681116</c:v>
                </c:pt>
                <c:pt idx="6">
                  <c:v>1437589.5631191053</c:v>
                </c:pt>
                <c:pt idx="7">
                  <c:v>1565027.5181700995</c:v>
                </c:pt>
              </c:numCache>
            </c:numRef>
          </c:yVal>
          <c:smooth val="1"/>
          <c:extLst>
            <c:ext xmlns:c16="http://schemas.microsoft.com/office/drawing/2014/chart" uri="{C3380CC4-5D6E-409C-BE32-E72D297353CC}">
              <c16:uniqueId val="{00000000-CF18-41B3-9EA2-E3CEEE57FDE8}"/>
            </c:ext>
          </c:extLst>
        </c:ser>
        <c:dLbls>
          <c:showLegendKey val="0"/>
          <c:showVal val="0"/>
          <c:showCatName val="0"/>
          <c:showSerName val="0"/>
          <c:showPercent val="0"/>
          <c:showBubbleSize val="0"/>
        </c:dLbls>
        <c:axId val="117820032"/>
        <c:axId val="117826688"/>
      </c:scatterChart>
      <c:valAx>
        <c:axId val="117820032"/>
        <c:scaling>
          <c:orientation val="minMax"/>
          <c:max val="140"/>
          <c:min val="70"/>
        </c:scaling>
        <c:delete val="0"/>
        <c:axPos val="b"/>
        <c:title>
          <c:tx>
            <c:rich>
              <a:bodyPr/>
              <a:lstStyle/>
              <a:p>
                <a:pPr>
                  <a:defRPr sz="950" b="1" i="0" u="none" strike="noStrike" baseline="0">
                    <a:solidFill>
                      <a:srgbClr val="000000"/>
                    </a:solidFill>
                    <a:latin typeface="Arial"/>
                    <a:ea typeface="Arial"/>
                    <a:cs typeface="Arial"/>
                  </a:defRPr>
                </a:pPr>
                <a:r>
                  <a:rPr lang="en-US" sz="1200"/>
                  <a:t>Performance Achieved % of Target</a:t>
                </a:r>
              </a:p>
            </c:rich>
          </c:tx>
          <c:layout>
            <c:manualLayout>
              <c:xMode val="edge"/>
              <c:yMode val="edge"/>
              <c:x val="0.38442703694601382"/>
              <c:y val="0.95021419478886626"/>
            </c:manualLayout>
          </c:layout>
          <c:overlay val="0"/>
          <c:spPr>
            <a:noFill/>
            <a:ln w="25400">
              <a:noFill/>
            </a:ln>
          </c:spPr>
        </c:title>
        <c:numFmt formatCode="General" sourceLinked="1"/>
        <c:majorTickMark val="out"/>
        <c:minorTickMark val="none"/>
        <c:tickLblPos val="nextTo"/>
        <c:crossAx val="117826688"/>
        <c:crosses val="autoZero"/>
        <c:crossBetween val="midCat"/>
        <c:majorUnit val="10"/>
        <c:minorUnit val="5"/>
      </c:valAx>
      <c:valAx>
        <c:axId val="117826688"/>
        <c:scaling>
          <c:orientation val="minMax"/>
        </c:scaling>
        <c:delete val="0"/>
        <c:axPos val="l"/>
        <c:majorGridlines>
          <c:spPr>
            <a:ln w="3175">
              <a:solidFill>
                <a:srgbClr val="000000"/>
              </a:solidFill>
              <a:prstDash val="solid"/>
            </a:ln>
          </c:spPr>
        </c:majorGridlines>
        <c:title>
          <c:tx>
            <c:rich>
              <a:bodyPr/>
              <a:lstStyle/>
              <a:p>
                <a:pPr>
                  <a:defRPr sz="950" b="1" i="0" u="none" strike="noStrike" baseline="0">
                    <a:solidFill>
                      <a:srgbClr val="000000"/>
                    </a:solidFill>
                    <a:latin typeface="Arial"/>
                    <a:ea typeface="Arial"/>
                    <a:cs typeface="Arial"/>
                  </a:defRPr>
                </a:pPr>
                <a:r>
                  <a:rPr lang="en-US" sz="1200"/>
                  <a:t>Incentive $ Earned</a:t>
                </a:r>
              </a:p>
            </c:rich>
          </c:tx>
          <c:layout>
            <c:manualLayout>
              <c:xMode val="edge"/>
              <c:yMode val="edge"/>
              <c:x val="1.4846040849659608E-2"/>
              <c:y val="0.4377897618648726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25" b="0" i="0" u="none" strike="noStrike" baseline="0">
                <a:solidFill>
                  <a:srgbClr val="000000"/>
                </a:solidFill>
                <a:latin typeface="Arial"/>
                <a:ea typeface="Arial"/>
                <a:cs typeface="Arial"/>
              </a:defRPr>
            </a:pPr>
            <a:endParaRPr lang="en-US"/>
          </a:p>
        </c:txPr>
        <c:crossAx val="117820032"/>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Budget by Customer Class </a:t>
            </a:r>
          </a:p>
        </c:rich>
      </c:tx>
      <c:layout>
        <c:manualLayout>
          <c:xMode val="edge"/>
          <c:yMode val="edge"/>
          <c:x val="0.2437536860858141"/>
          <c:y val="2.2576352959057695E-2"/>
        </c:manualLayout>
      </c:layout>
      <c:overlay val="0"/>
    </c:title>
    <c:autoTitleDeleted val="0"/>
    <c:plotArea>
      <c:layout/>
      <c:pieChart>
        <c:varyColors val="1"/>
        <c:ser>
          <c:idx val="0"/>
          <c:order val="0"/>
          <c:dLbls>
            <c:dLbl>
              <c:idx val="0"/>
              <c:layout>
                <c:manualLayout>
                  <c:x val="0.10165323060363142"/>
                  <c:y val="6.3284617381071176E-2"/>
                </c:manualLayout>
              </c:layout>
              <c:tx>
                <c:rich>
                  <a:bodyPr wrap="square" lIns="38100" tIns="19050" rIns="38100" bIns="19050" anchor="ctr">
                    <a:spAutoFit/>
                  </a:bodyPr>
                  <a:lstStyle/>
                  <a:p>
                    <a:pPr>
                      <a:defRPr sz="1200" b="0" i="0" baseline="0">
                        <a:latin typeface="Arial" panose="020B0604020202020204" pitchFamily="34" charset="0"/>
                        <a:cs typeface="Arial" panose="020B0604020202020204" pitchFamily="34" charset="0"/>
                      </a:defRPr>
                    </a:pPr>
                    <a:r>
                      <a:rPr lang="en-US" sz="1200" b="0" i="0" baseline="0"/>
                      <a:t>Res. Income- Eligible</a:t>
                    </a:r>
                  </a:p>
                  <a:p>
                    <a:pPr>
                      <a:defRPr sz="1200" b="0" i="0" baseline="0">
                        <a:latin typeface="Arial" panose="020B0604020202020204" pitchFamily="34" charset="0"/>
                        <a:cs typeface="Arial" panose="020B0604020202020204" pitchFamily="34" charset="0"/>
                      </a:defRPr>
                    </a:pPr>
                    <a:r>
                      <a:rPr lang="en-US" sz="1200" b="0" i="0" baseline="0"/>
                      <a:t> 22.72%</a:t>
                    </a:r>
                  </a:p>
                </c:rich>
              </c:tx>
              <c:numFmt formatCode="0.00%" sourceLinked="0"/>
              <c:spPr>
                <a:noFill/>
                <a:ln>
                  <a:noFill/>
                </a:ln>
                <a:effectLst/>
              </c:spPr>
              <c:dLblPos val="bestFit"/>
              <c:showLegendKey val="0"/>
              <c:showVal val="0"/>
              <c:showCatName val="1"/>
              <c:showSerName val="0"/>
              <c:showPercent val="1"/>
              <c:showBubbleSize val="0"/>
              <c:separator>, </c:separator>
              <c:extLst>
                <c:ext xmlns:c15="http://schemas.microsoft.com/office/drawing/2012/chart" uri="{CE6537A1-D6FC-4f65-9D91-7224C49458BB}">
                  <c15:showDataLabelsRange val="1"/>
                </c:ext>
                <c:ext xmlns:c16="http://schemas.microsoft.com/office/drawing/2014/chart" uri="{C3380CC4-5D6E-409C-BE32-E72D297353CC}">
                  <c16:uniqueId val="{00000000-D1C6-4E06-8513-ECD45251F9F3}"/>
                </c:ext>
              </c:extLst>
            </c:dLbl>
            <c:dLbl>
              <c:idx val="1"/>
              <c:layout>
                <c:manualLayout>
                  <c:x val="0.25066197016965147"/>
                  <c:y val="-9.3660755632311202E-2"/>
                </c:manualLayout>
              </c:layout>
              <c:tx>
                <c:rich>
                  <a:bodyPr/>
                  <a:lstStyle/>
                  <a:p>
                    <a:r>
                      <a:rPr lang="en-US"/>
                      <a:t>Res. Non Income- Eligible</a:t>
                    </a:r>
                    <a:r>
                      <a:rPr lang="en-US" baseline="0"/>
                      <a:t> 40.66</a:t>
                    </a:r>
                    <a:r>
                      <a:rPr lang="en-US"/>
                      <a:t>%</a:t>
                    </a:r>
                  </a:p>
                </c:rich>
              </c:tx>
              <c:dLblPos val="bestFit"/>
              <c:showLegendKey val="0"/>
              <c:showVal val="0"/>
              <c:showCatName val="1"/>
              <c:showSerName val="0"/>
              <c:showPercent val="1"/>
              <c:showBubbleSize val="0"/>
              <c:separator>, </c:separator>
              <c:extLst>
                <c:ext xmlns:c15="http://schemas.microsoft.com/office/drawing/2012/chart" uri="{CE6537A1-D6FC-4f65-9D91-7224C49458BB}">
                  <c15:showDataLabelsRange val="1"/>
                </c:ext>
                <c:ext xmlns:c16="http://schemas.microsoft.com/office/drawing/2014/chart" uri="{C3380CC4-5D6E-409C-BE32-E72D297353CC}">
                  <c16:uniqueId val="{00000001-D1C6-4E06-8513-ECD45251F9F3}"/>
                </c:ext>
              </c:extLst>
            </c:dLbl>
            <c:dLbl>
              <c:idx val="2"/>
              <c:layout>
                <c:manualLayout>
                  <c:x val="-4.7619047619047616E-2"/>
                  <c:y val="-0.12192723697148476"/>
                </c:manualLayout>
              </c:layout>
              <c:tx>
                <c:rich>
                  <a:bodyPr/>
                  <a:lstStyle/>
                  <a:p>
                    <a:r>
                      <a:rPr lang="en-US"/>
                      <a:t>Commercial and Industrial 36.62%</a:t>
                    </a:r>
                  </a:p>
                </c:rich>
              </c:tx>
              <c:dLblPos val="bestFit"/>
              <c:showLegendKey val="0"/>
              <c:showVal val="0"/>
              <c:showCatName val="1"/>
              <c:showSerName val="0"/>
              <c:showPercent val="1"/>
              <c:showBubbleSize val="0"/>
              <c:separator>, </c:separator>
              <c:extLst>
                <c:ext xmlns:c15="http://schemas.microsoft.com/office/drawing/2012/chart" uri="{CE6537A1-D6FC-4f65-9D91-7224C49458BB}">
                  <c15:showDataLabelsRange val="1"/>
                </c:ext>
                <c:ext xmlns:c16="http://schemas.microsoft.com/office/drawing/2014/chart" uri="{C3380CC4-5D6E-409C-BE32-E72D297353CC}">
                  <c16:uniqueId val="{00000002-D1C6-4E06-8513-ECD45251F9F3}"/>
                </c:ext>
              </c:extLst>
            </c:dLbl>
            <c:numFmt formatCode="0.00%" sourceLinked="0"/>
            <c:spPr>
              <a:noFill/>
              <a:ln>
                <a:noFill/>
              </a:ln>
              <a:effectLst/>
            </c:spPr>
            <c:txPr>
              <a:bodyPr wrap="square" lIns="38100" tIns="19050" rIns="38100" bIns="19050" anchor="ctr">
                <a:spAutoFit/>
              </a:bodyPr>
              <a:lstStyle/>
              <a:p>
                <a:pPr>
                  <a:defRPr sz="1200" b="0" baseline="0">
                    <a:latin typeface="Arial" panose="020B0604020202020204" pitchFamily="34" charset="0"/>
                    <a:cs typeface="Arial" panose="020B0604020202020204" pitchFamily="34" charset="0"/>
                  </a:defRPr>
                </a:pPr>
                <a:endParaRPr lang="en-US"/>
              </a:p>
            </c:txPr>
            <c:dLblPos val="outEnd"/>
            <c:showLegendKey val="0"/>
            <c:showVal val="0"/>
            <c:showCatName val="1"/>
            <c:showSerName val="0"/>
            <c:showPercent val="1"/>
            <c:showBubbleSize val="0"/>
            <c:separator>, </c:separator>
            <c:showLeaderLines val="1"/>
            <c:extLst>
              <c:ext xmlns:c15="http://schemas.microsoft.com/office/drawing/2012/chart" uri="{CE6537A1-D6FC-4f65-9D91-7224C49458BB}">
                <c15:showDataLabelsRange val="1"/>
              </c:ext>
            </c:extLst>
          </c:dLbls>
          <c:cat>
            <c:strRef>
              <c:f>('2022 Joint Table A1 Pies - Gas'!$B$30:$B$31,'2022 Joint Table A1 Pies - Gas'!$B$34)</c:f>
              <c:strCache>
                <c:ptCount val="3"/>
                <c:pt idx="0">
                  <c:v>Res. Income-Eligible</c:v>
                </c:pt>
                <c:pt idx="1">
                  <c:v>Res. Non Income-Eligible</c:v>
                </c:pt>
                <c:pt idx="2">
                  <c:v>Commercial and Industrial</c:v>
                </c:pt>
              </c:strCache>
            </c:strRef>
          </c:cat>
          <c:val>
            <c:numRef>
              <c:f>('2022 Joint Table A1 Pies - Gas'!$F$30:$F$31,'2022 Joint Table A1 Pies - Gas'!$F$34)</c:f>
              <c:numCache>
                <c:formatCode>0.00%</c:formatCode>
                <c:ptCount val="3"/>
                <c:pt idx="0">
                  <c:v>0.26024173923760957</c:v>
                </c:pt>
                <c:pt idx="1">
                  <c:v>0.39612311683932178</c:v>
                </c:pt>
                <c:pt idx="2">
                  <c:v>0.34363514392306865</c:v>
                </c:pt>
              </c:numCache>
            </c:numRef>
          </c:val>
          <c:extLst>
            <c:ext xmlns:c15="http://schemas.microsoft.com/office/drawing/2012/chart" uri="{02D57815-91ED-43cb-92C2-25804820EDAC}">
              <c15:datalabelsRange>
                <c15:f>'2022 Joint Table A1 Pies - Gas'!$F$34</c15:f>
                <c15:dlblRangeCache>
                  <c:ptCount val="1"/>
                  <c:pt idx="0">
                    <c:v>34.36%</c:v>
                  </c:pt>
                </c15:dlblRangeCache>
              </c15:datalabelsRange>
            </c:ext>
            <c:ext xmlns:c16="http://schemas.microsoft.com/office/drawing/2014/chart" uri="{C3380CC4-5D6E-409C-BE32-E72D297353CC}">
              <c16:uniqueId val="{00000003-D1C6-4E06-8513-ECD45251F9F3}"/>
            </c:ext>
          </c:extLst>
        </c:ser>
        <c:dLbls>
          <c:showLegendKey val="0"/>
          <c:showVal val="0"/>
          <c:showCatName val="0"/>
          <c:showSerName val="0"/>
          <c:showPercent val="1"/>
          <c:showBubbleSize val="0"/>
          <c:showLeaderLines val="1"/>
        </c:dLbls>
        <c:firstSliceAng val="0"/>
      </c:pieChart>
    </c:plotArea>
    <c:plotVisOnly val="1"/>
    <c:dispBlanksAs val="gap"/>
    <c:showDLblsOverMax val="0"/>
  </c:chart>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sz="1400"/>
              <a:t>Incentive $ Earned vs Performance Achieved</a:t>
            </a:r>
          </a:p>
        </c:rich>
      </c:tx>
      <c:layout>
        <c:manualLayout>
          <c:xMode val="edge"/>
          <c:yMode val="edge"/>
          <c:x val="0.29256636626715365"/>
          <c:y val="2.9850746268656716E-2"/>
        </c:manualLayout>
      </c:layout>
      <c:overlay val="0"/>
      <c:spPr>
        <a:noFill/>
        <a:ln w="25400">
          <a:noFill/>
        </a:ln>
      </c:spPr>
    </c:title>
    <c:autoTitleDeleted val="0"/>
    <c:plotArea>
      <c:layout>
        <c:manualLayout>
          <c:layoutTarget val="inner"/>
          <c:xMode val="edge"/>
          <c:yMode val="edge"/>
          <c:x val="0.13069559668155711"/>
          <c:y val="0.1455223880597015"/>
          <c:w val="0.84292664648747384"/>
          <c:h val="0.75932835820895528"/>
        </c:manualLayout>
      </c:layout>
      <c:scatterChart>
        <c:scatterStyle val="smoothMarker"/>
        <c:varyColors val="0"/>
        <c:ser>
          <c:idx val="0"/>
          <c:order val="0"/>
          <c:tx>
            <c:strRef>
              <c:f>'2024 ES CT PMI '!$B$6</c:f>
              <c:strCache>
                <c:ptCount val="1"/>
                <c:pt idx="0">
                  <c:v>Performance %
Minimum</c:v>
                </c:pt>
              </c:strCache>
            </c:strRef>
          </c:tx>
          <c:spPr>
            <a:ln w="41275">
              <a:solidFill>
                <a:schemeClr val="tx2">
                  <a:lumMod val="60000"/>
                  <a:lumOff val="40000"/>
                </a:schemeClr>
              </a:solidFill>
              <a:prstDash val="solid"/>
            </a:ln>
          </c:spPr>
          <c:marker>
            <c:spPr>
              <a:solidFill>
                <a:schemeClr val="tx1"/>
              </a:solidFill>
            </c:spPr>
          </c:marker>
          <c:xVal>
            <c:numRef>
              <c:f>'2024 ES CT PMI '!$B$7:$B$14</c:f>
              <c:numCache>
                <c:formatCode>General</c:formatCode>
                <c:ptCount val="8"/>
                <c:pt idx="0">
                  <c:v>75</c:v>
                </c:pt>
                <c:pt idx="1">
                  <c:v>85</c:v>
                </c:pt>
                <c:pt idx="2">
                  <c:v>95</c:v>
                </c:pt>
                <c:pt idx="3">
                  <c:v>100</c:v>
                </c:pt>
                <c:pt idx="4">
                  <c:v>105</c:v>
                </c:pt>
                <c:pt idx="5">
                  <c:v>115</c:v>
                </c:pt>
                <c:pt idx="6">
                  <c:v>125</c:v>
                </c:pt>
                <c:pt idx="7">
                  <c:v>135</c:v>
                </c:pt>
              </c:numCache>
            </c:numRef>
          </c:xVal>
          <c:yVal>
            <c:numRef>
              <c:f>'2024 ES CT PMI '!$D$7:$D$14</c:f>
              <c:numCache>
                <c:formatCode>"$"#,##0</c:formatCode>
                <c:ptCount val="8"/>
                <c:pt idx="0">
                  <c:v>567766.11931088555</c:v>
                </c:pt>
                <c:pt idx="1">
                  <c:v>794872.56703523977</c:v>
                </c:pt>
                <c:pt idx="2">
                  <c:v>1021979.0147595939</c:v>
                </c:pt>
                <c:pt idx="3">
                  <c:v>1135532.2386217711</c:v>
                </c:pt>
                <c:pt idx="4">
                  <c:v>1201393.1084618338</c:v>
                </c:pt>
                <c:pt idx="5">
                  <c:v>1330843.7836647155</c:v>
                </c:pt>
                <c:pt idx="6">
                  <c:v>1460294.4588675974</c:v>
                </c:pt>
                <c:pt idx="7">
                  <c:v>1589745.1340704795</c:v>
                </c:pt>
              </c:numCache>
            </c:numRef>
          </c:yVal>
          <c:smooth val="1"/>
          <c:extLst>
            <c:ext xmlns:c16="http://schemas.microsoft.com/office/drawing/2014/chart" uri="{C3380CC4-5D6E-409C-BE32-E72D297353CC}">
              <c16:uniqueId val="{00000000-69FE-4926-837D-67195F1F4A39}"/>
            </c:ext>
          </c:extLst>
        </c:ser>
        <c:dLbls>
          <c:showLegendKey val="0"/>
          <c:showVal val="0"/>
          <c:showCatName val="0"/>
          <c:showSerName val="0"/>
          <c:showPercent val="0"/>
          <c:showBubbleSize val="0"/>
        </c:dLbls>
        <c:axId val="117820032"/>
        <c:axId val="117826688"/>
      </c:scatterChart>
      <c:valAx>
        <c:axId val="117820032"/>
        <c:scaling>
          <c:orientation val="minMax"/>
          <c:max val="140"/>
          <c:min val="70"/>
        </c:scaling>
        <c:delete val="0"/>
        <c:axPos val="b"/>
        <c:title>
          <c:tx>
            <c:rich>
              <a:bodyPr/>
              <a:lstStyle/>
              <a:p>
                <a:pPr>
                  <a:defRPr sz="950" b="1" i="0" u="none" strike="noStrike" baseline="0">
                    <a:solidFill>
                      <a:srgbClr val="000000"/>
                    </a:solidFill>
                    <a:latin typeface="Arial"/>
                    <a:ea typeface="Arial"/>
                    <a:cs typeface="Arial"/>
                  </a:defRPr>
                </a:pPr>
                <a:r>
                  <a:rPr lang="en-US" sz="1200"/>
                  <a:t>Performance Achieved % of Target</a:t>
                </a:r>
              </a:p>
            </c:rich>
          </c:tx>
          <c:layout>
            <c:manualLayout>
              <c:xMode val="edge"/>
              <c:yMode val="edge"/>
              <c:x val="0.38442703694601382"/>
              <c:y val="0.95021419478886626"/>
            </c:manualLayout>
          </c:layout>
          <c:overlay val="0"/>
          <c:spPr>
            <a:noFill/>
            <a:ln w="25400">
              <a:noFill/>
            </a:ln>
          </c:spPr>
        </c:title>
        <c:numFmt formatCode="General" sourceLinked="1"/>
        <c:majorTickMark val="out"/>
        <c:minorTickMark val="none"/>
        <c:tickLblPos val="nextTo"/>
        <c:crossAx val="117826688"/>
        <c:crosses val="autoZero"/>
        <c:crossBetween val="midCat"/>
        <c:majorUnit val="10"/>
        <c:minorUnit val="5"/>
      </c:valAx>
      <c:valAx>
        <c:axId val="117826688"/>
        <c:scaling>
          <c:orientation val="minMax"/>
        </c:scaling>
        <c:delete val="0"/>
        <c:axPos val="l"/>
        <c:majorGridlines>
          <c:spPr>
            <a:ln w="3175">
              <a:solidFill>
                <a:srgbClr val="000000"/>
              </a:solidFill>
              <a:prstDash val="solid"/>
            </a:ln>
          </c:spPr>
        </c:majorGridlines>
        <c:title>
          <c:tx>
            <c:rich>
              <a:bodyPr/>
              <a:lstStyle/>
              <a:p>
                <a:pPr>
                  <a:defRPr sz="950" b="1" i="0" u="none" strike="noStrike" baseline="0">
                    <a:solidFill>
                      <a:srgbClr val="000000"/>
                    </a:solidFill>
                    <a:latin typeface="Arial"/>
                    <a:ea typeface="Arial"/>
                    <a:cs typeface="Arial"/>
                  </a:defRPr>
                </a:pPr>
                <a:r>
                  <a:rPr lang="en-US" sz="1200"/>
                  <a:t>Incentive $ Earned</a:t>
                </a:r>
              </a:p>
            </c:rich>
          </c:tx>
          <c:layout>
            <c:manualLayout>
              <c:xMode val="edge"/>
              <c:yMode val="edge"/>
              <c:x val="1.4846040849659608E-2"/>
              <c:y val="0.4377897618648726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25" b="0" i="0" u="none" strike="noStrike" baseline="0">
                <a:solidFill>
                  <a:srgbClr val="000000"/>
                </a:solidFill>
                <a:latin typeface="Arial"/>
                <a:ea typeface="Arial"/>
                <a:cs typeface="Arial"/>
              </a:defRPr>
            </a:pPr>
            <a:endParaRPr lang="en-US"/>
          </a:p>
        </c:txPr>
        <c:crossAx val="117820032"/>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Revenue by Customer Class </a:t>
            </a:r>
          </a:p>
        </c:rich>
      </c:tx>
      <c:layout>
        <c:manualLayout>
          <c:xMode val="edge"/>
          <c:yMode val="edge"/>
          <c:x val="0.2437536860858141"/>
          <c:y val="2.2576352959057695E-2"/>
        </c:manualLayout>
      </c:layout>
      <c:overlay val="0"/>
    </c:title>
    <c:autoTitleDeleted val="0"/>
    <c:plotArea>
      <c:layout/>
      <c:pieChart>
        <c:varyColors val="1"/>
        <c:ser>
          <c:idx val="0"/>
          <c:order val="0"/>
          <c:dLbls>
            <c:dLbl>
              <c:idx val="0"/>
              <c:layout>
                <c:manualLayout>
                  <c:x val="0.10165323060363142"/>
                  <c:y val="6.3284617381071176E-2"/>
                </c:manualLayout>
              </c:layout>
              <c:tx>
                <c:rich>
                  <a:bodyPr wrap="square" lIns="38100" tIns="19050" rIns="38100" bIns="19050" anchor="ctr">
                    <a:spAutoFit/>
                  </a:bodyPr>
                  <a:lstStyle/>
                  <a:p>
                    <a:pPr>
                      <a:defRPr sz="1200" b="0" i="0" baseline="0">
                        <a:latin typeface="Arial" panose="020B0604020202020204" pitchFamily="34" charset="0"/>
                        <a:cs typeface="Arial" panose="020B0604020202020204" pitchFamily="34" charset="0"/>
                      </a:defRPr>
                    </a:pPr>
                    <a:r>
                      <a:rPr lang="en-US" sz="1200" b="0" i="0" baseline="0"/>
                      <a:t>Res. Income- Eligible</a:t>
                    </a:r>
                  </a:p>
                  <a:p>
                    <a:pPr>
                      <a:defRPr sz="1200" b="0" i="0" baseline="0">
                        <a:latin typeface="Arial" panose="020B0604020202020204" pitchFamily="34" charset="0"/>
                        <a:cs typeface="Arial" panose="020B0604020202020204" pitchFamily="34" charset="0"/>
                      </a:defRPr>
                    </a:pPr>
                    <a:r>
                      <a:rPr lang="en-US" sz="1200" b="0" i="0" baseline="0"/>
                      <a:t> 13.00%</a:t>
                    </a:r>
                  </a:p>
                </c:rich>
              </c:tx>
              <c:numFmt formatCode="0.00%" sourceLinked="0"/>
              <c:spPr>
                <a:noFill/>
                <a:ln>
                  <a:noFill/>
                </a:ln>
                <a:effectLst/>
              </c:spPr>
              <c:dLblPos val="bestFit"/>
              <c:showLegendKey val="0"/>
              <c:showVal val="0"/>
              <c:showCatName val="1"/>
              <c:showSerName val="0"/>
              <c:showPercent val="1"/>
              <c:showBubbleSize val="0"/>
              <c:separator>, </c:separator>
              <c:extLst>
                <c:ext xmlns:c15="http://schemas.microsoft.com/office/drawing/2012/chart" uri="{CE6537A1-D6FC-4f65-9D91-7224C49458BB}">
                  <c15:showDataLabelsRange val="1"/>
                </c:ext>
                <c:ext xmlns:c16="http://schemas.microsoft.com/office/drawing/2014/chart" uri="{C3380CC4-5D6E-409C-BE32-E72D297353CC}">
                  <c16:uniqueId val="{00000000-27F5-41D2-ADA2-2E6AC256A0A9}"/>
                </c:ext>
              </c:extLst>
            </c:dLbl>
            <c:dLbl>
              <c:idx val="1"/>
              <c:layout>
                <c:manualLayout>
                  <c:x val="0.1215218602683673"/>
                  <c:y val="-7.1084402673253652E-2"/>
                </c:manualLayout>
              </c:layout>
              <c:tx>
                <c:rich>
                  <a:bodyPr/>
                  <a:lstStyle/>
                  <a:p>
                    <a:r>
                      <a:rPr lang="en-US"/>
                      <a:t>Res. Non Income- Eligible</a:t>
                    </a:r>
                    <a:r>
                      <a:rPr lang="en-US" baseline="0"/>
                      <a:t> 31.06</a:t>
                    </a:r>
                    <a:r>
                      <a:rPr lang="en-US"/>
                      <a:t>%</a:t>
                    </a:r>
                  </a:p>
                </c:rich>
              </c:tx>
              <c:dLblPos val="bestFit"/>
              <c:showLegendKey val="0"/>
              <c:showVal val="0"/>
              <c:showCatName val="1"/>
              <c:showSerName val="0"/>
              <c:showPercent val="1"/>
              <c:showBubbleSize val="0"/>
              <c:separator>, </c:separator>
              <c:extLst>
                <c:ext xmlns:c15="http://schemas.microsoft.com/office/drawing/2012/chart" uri="{CE6537A1-D6FC-4f65-9D91-7224C49458BB}">
                  <c15:showDataLabelsRange val="1"/>
                </c:ext>
                <c:ext xmlns:c16="http://schemas.microsoft.com/office/drawing/2014/chart" uri="{C3380CC4-5D6E-409C-BE32-E72D297353CC}">
                  <c16:uniqueId val="{00000001-27F5-41D2-ADA2-2E6AC256A0A9}"/>
                </c:ext>
              </c:extLst>
            </c:dLbl>
            <c:dLbl>
              <c:idx val="2"/>
              <c:layout>
                <c:manualLayout>
                  <c:x val="-4.7619047619047616E-2"/>
                  <c:y val="-0.12192723697148476"/>
                </c:manualLayout>
              </c:layout>
              <c:tx>
                <c:rich>
                  <a:bodyPr/>
                  <a:lstStyle/>
                  <a:p>
                    <a:r>
                      <a:rPr lang="en-US"/>
                      <a:t>Commercial and Industrial 55.94%</a:t>
                    </a:r>
                  </a:p>
                </c:rich>
              </c:tx>
              <c:dLblPos val="bestFit"/>
              <c:showLegendKey val="0"/>
              <c:showVal val="0"/>
              <c:showCatName val="1"/>
              <c:showSerName val="0"/>
              <c:showPercent val="1"/>
              <c:showBubbleSize val="0"/>
              <c:separator>, </c:separator>
              <c:extLst>
                <c:ext xmlns:c15="http://schemas.microsoft.com/office/drawing/2012/chart" uri="{CE6537A1-D6FC-4f65-9D91-7224C49458BB}">
                  <c15:showDataLabelsRange val="1"/>
                </c:ext>
                <c:ext xmlns:c16="http://schemas.microsoft.com/office/drawing/2014/chart" uri="{C3380CC4-5D6E-409C-BE32-E72D297353CC}">
                  <c16:uniqueId val="{00000002-27F5-41D2-ADA2-2E6AC256A0A9}"/>
                </c:ext>
              </c:extLst>
            </c:dLbl>
            <c:numFmt formatCode="0.00%" sourceLinked="0"/>
            <c:spPr>
              <a:noFill/>
              <a:ln>
                <a:noFill/>
              </a:ln>
              <a:effectLst/>
            </c:spPr>
            <c:txPr>
              <a:bodyPr wrap="square" lIns="38100" tIns="19050" rIns="38100" bIns="19050" anchor="ctr">
                <a:spAutoFit/>
              </a:bodyPr>
              <a:lstStyle/>
              <a:p>
                <a:pPr>
                  <a:defRPr sz="1200" b="0" baseline="0">
                    <a:latin typeface="Arial" panose="020B0604020202020204" pitchFamily="34" charset="0"/>
                    <a:cs typeface="Arial" panose="020B0604020202020204" pitchFamily="34" charset="0"/>
                  </a:defRPr>
                </a:pPr>
                <a:endParaRPr lang="en-US"/>
              </a:p>
            </c:txPr>
            <c:dLblPos val="outEnd"/>
            <c:showLegendKey val="0"/>
            <c:showVal val="0"/>
            <c:showCatName val="1"/>
            <c:showSerName val="0"/>
            <c:showPercent val="1"/>
            <c:showBubbleSize val="0"/>
            <c:separator>, </c:separator>
            <c:showLeaderLines val="1"/>
            <c:extLst>
              <c:ext xmlns:c15="http://schemas.microsoft.com/office/drawing/2012/chart" uri="{CE6537A1-D6FC-4f65-9D91-7224C49458BB}">
                <c15:showDataLabelsRange val="1"/>
              </c:ext>
            </c:extLst>
          </c:dLbls>
          <c:cat>
            <c:strRef>
              <c:f>('2022 Joint Table A1 Pies - Gas'!$B$30:$B$31,'2022 Joint Table A1 Pies - Gas'!$B$34)</c:f>
              <c:strCache>
                <c:ptCount val="3"/>
                <c:pt idx="0">
                  <c:v>Res. Income-Eligible</c:v>
                </c:pt>
                <c:pt idx="1">
                  <c:v>Res. Non Income-Eligible</c:v>
                </c:pt>
                <c:pt idx="2">
                  <c:v>Commercial and Industrial</c:v>
                </c:pt>
              </c:strCache>
            </c:strRef>
          </c:cat>
          <c:val>
            <c:numRef>
              <c:f>('2022 Joint Table A1 Pies - Gas'!$G$30:$G$31,'2022 Joint Table A1 Pies - Gas'!$G$34)</c:f>
              <c:numCache>
                <c:formatCode>0.00%</c:formatCode>
                <c:ptCount val="3"/>
                <c:pt idx="0">
                  <c:v>0.13</c:v>
                </c:pt>
                <c:pt idx="1">
                  <c:v>0.31059999999999999</c:v>
                </c:pt>
                <c:pt idx="2">
                  <c:v>0.55940000000000001</c:v>
                </c:pt>
              </c:numCache>
            </c:numRef>
          </c:val>
          <c:extLst>
            <c:ext xmlns:c15="http://schemas.microsoft.com/office/drawing/2012/chart" uri="{02D57815-91ED-43cb-92C2-25804820EDAC}">
              <c15:datalabelsRange>
                <c15:f>'2022 Joint Table A1 Pies - Gas'!$G$30</c15:f>
                <c15:dlblRangeCache>
                  <c:ptCount val="1"/>
                  <c:pt idx="0">
                    <c:v>13.00%</c:v>
                  </c:pt>
                </c15:dlblRangeCache>
              </c15:datalabelsRange>
            </c:ext>
            <c:ext xmlns:c16="http://schemas.microsoft.com/office/drawing/2014/chart" uri="{C3380CC4-5D6E-409C-BE32-E72D297353CC}">
              <c16:uniqueId val="{00000003-27F5-41D2-ADA2-2E6AC256A0A9}"/>
            </c:ext>
          </c:extLst>
        </c:ser>
        <c:dLbls>
          <c:showLegendKey val="0"/>
          <c:showVal val="0"/>
          <c:showCatName val="0"/>
          <c:showSerName val="0"/>
          <c:showPercent val="1"/>
          <c:showBubbleSize val="0"/>
          <c:showLeaderLines val="1"/>
        </c:dLbls>
        <c:firstSliceAng val="0"/>
      </c:pieChart>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Budget by Customer Class </a:t>
            </a:r>
          </a:p>
        </c:rich>
      </c:tx>
      <c:layout>
        <c:manualLayout>
          <c:xMode val="edge"/>
          <c:yMode val="edge"/>
          <c:x val="0.2437536860858141"/>
          <c:y val="2.2576352959057695E-2"/>
        </c:manualLayout>
      </c:layout>
      <c:overlay val="0"/>
    </c:title>
    <c:autoTitleDeleted val="0"/>
    <c:plotArea>
      <c:layout/>
      <c:pieChart>
        <c:varyColors val="1"/>
        <c:ser>
          <c:idx val="0"/>
          <c:order val="0"/>
          <c:dPt>
            <c:idx val="0"/>
            <c:bubble3D val="0"/>
            <c:explosion val="7"/>
            <c:extLst>
              <c:ext xmlns:c16="http://schemas.microsoft.com/office/drawing/2014/chart" uri="{C3380CC4-5D6E-409C-BE32-E72D297353CC}">
                <c16:uniqueId val="{00000001-5E45-44A8-8E3B-0116BB4D35C4}"/>
              </c:ext>
            </c:extLst>
          </c:dPt>
          <c:dPt>
            <c:idx val="1"/>
            <c:bubble3D val="0"/>
            <c:explosion val="4"/>
            <c:spPr>
              <a:solidFill>
                <a:schemeClr val="tx2"/>
              </a:solidFill>
            </c:spPr>
            <c:extLst>
              <c:ext xmlns:c16="http://schemas.microsoft.com/office/drawing/2014/chart" uri="{C3380CC4-5D6E-409C-BE32-E72D297353CC}">
                <c16:uniqueId val="{00000003-5E45-44A8-8E3B-0116BB4D35C4}"/>
              </c:ext>
            </c:extLst>
          </c:dPt>
          <c:dPt>
            <c:idx val="2"/>
            <c:bubble3D val="0"/>
            <c:spPr>
              <a:solidFill>
                <a:schemeClr val="accent6">
                  <a:lumMod val="75000"/>
                </a:schemeClr>
              </a:solidFill>
            </c:spPr>
            <c:extLst>
              <c:ext xmlns:c16="http://schemas.microsoft.com/office/drawing/2014/chart" uri="{C3380CC4-5D6E-409C-BE32-E72D297353CC}">
                <c16:uniqueId val="{00000005-5E45-44A8-8E3B-0116BB4D35C4}"/>
              </c:ext>
            </c:extLst>
          </c:dPt>
          <c:dLbls>
            <c:dLbl>
              <c:idx val="0"/>
              <c:layout>
                <c:manualLayout>
                  <c:x val="5.2579955014500204E-2"/>
                  <c:y val="0.11972548102890099"/>
                </c:manualLayout>
              </c:layout>
              <c:tx>
                <c:rich>
                  <a:bodyPr wrap="square" lIns="38100" tIns="19050" rIns="38100" bIns="19050" anchor="ctr">
                    <a:spAutoFit/>
                  </a:bodyPr>
                  <a:lstStyle/>
                  <a:p>
                    <a:pPr>
                      <a:defRPr sz="1200" b="0" i="0" baseline="0">
                        <a:latin typeface="Arial" panose="020B0604020202020204" pitchFamily="34" charset="0"/>
                        <a:cs typeface="Arial" panose="020B0604020202020204" pitchFamily="34" charset="0"/>
                      </a:defRPr>
                    </a:pPr>
                    <a:r>
                      <a:rPr lang="en-US" sz="1200" b="0" i="0" baseline="0"/>
                      <a:t>Res. Income- Eligible</a:t>
                    </a:r>
                  </a:p>
                  <a:p>
                    <a:pPr>
                      <a:defRPr sz="1200" b="0" i="0" baseline="0">
                        <a:latin typeface="Arial" panose="020B0604020202020204" pitchFamily="34" charset="0"/>
                        <a:cs typeface="Arial" panose="020B0604020202020204" pitchFamily="34" charset="0"/>
                      </a:defRPr>
                    </a:pPr>
                    <a:r>
                      <a:rPr lang="en-US" sz="1200" b="0" i="0" baseline="0"/>
                      <a:t> 22.72%</a:t>
                    </a:r>
                  </a:p>
                </c:rich>
              </c:tx>
              <c:numFmt formatCode="0.00%" sourceLinked="0"/>
              <c:spPr>
                <a:noFill/>
                <a:ln>
                  <a:noFill/>
                </a:ln>
                <a:effectLst/>
              </c:spPr>
              <c:dLblPos val="bestFit"/>
              <c:showLegendKey val="0"/>
              <c:showVal val="0"/>
              <c:showCatName val="1"/>
              <c:showSerName val="0"/>
              <c:showPercent val="1"/>
              <c:showBubbleSize val="0"/>
              <c:separator>, </c:separator>
              <c:extLst>
                <c:ext xmlns:c15="http://schemas.microsoft.com/office/drawing/2012/chart" uri="{CE6537A1-D6FC-4f65-9D91-7224C49458BB}">
                  <c15:showDataLabelsRange val="1"/>
                </c:ext>
                <c:ext xmlns:c16="http://schemas.microsoft.com/office/drawing/2014/chart" uri="{C3380CC4-5D6E-409C-BE32-E72D297353CC}">
                  <c16:uniqueId val="{00000001-5E45-44A8-8E3B-0116BB4D35C4}"/>
                </c:ext>
              </c:extLst>
            </c:dLbl>
            <c:dLbl>
              <c:idx val="1"/>
              <c:layout>
                <c:manualLayout>
                  <c:x val="0.19384032181308647"/>
                  <c:y val="-0.11247438309819276"/>
                </c:manualLayout>
              </c:layout>
              <c:tx>
                <c:rich>
                  <a:bodyPr/>
                  <a:lstStyle/>
                  <a:p>
                    <a:r>
                      <a:rPr lang="en-US"/>
                      <a:t>Res. Non Income- Eligible</a:t>
                    </a:r>
                    <a:r>
                      <a:rPr lang="en-US" baseline="0"/>
                      <a:t> 40.66</a:t>
                    </a:r>
                    <a:r>
                      <a:rPr lang="en-US"/>
                      <a:t>%</a:t>
                    </a:r>
                  </a:p>
                </c:rich>
              </c:tx>
              <c:dLblPos val="bestFit"/>
              <c:showLegendKey val="0"/>
              <c:showVal val="0"/>
              <c:showCatName val="1"/>
              <c:showSerName val="0"/>
              <c:showPercent val="1"/>
              <c:showBubbleSize val="0"/>
              <c:separator>, </c:separator>
              <c:extLst>
                <c:ext xmlns:c15="http://schemas.microsoft.com/office/drawing/2012/chart" uri="{CE6537A1-D6FC-4f65-9D91-7224C49458BB}">
                  <c15:showDataLabelsRange val="1"/>
                </c:ext>
                <c:ext xmlns:c16="http://schemas.microsoft.com/office/drawing/2014/chart" uri="{C3380CC4-5D6E-409C-BE32-E72D297353CC}">
                  <c16:uniqueId val="{00000003-5E45-44A8-8E3B-0116BB4D35C4}"/>
                </c:ext>
              </c:extLst>
            </c:dLbl>
            <c:dLbl>
              <c:idx val="2"/>
              <c:layout>
                <c:manualLayout>
                  <c:x val="-3.7287935669921946E-2"/>
                  <c:y val="7.3734605786360749E-2"/>
                </c:manualLayout>
              </c:layout>
              <c:tx>
                <c:rich>
                  <a:bodyPr/>
                  <a:lstStyle/>
                  <a:p>
                    <a:r>
                      <a:rPr lang="en-US"/>
                      <a:t>Commercial and Industrial 36.62%</a:t>
                    </a:r>
                  </a:p>
                </c:rich>
              </c:tx>
              <c:dLblPos val="bestFit"/>
              <c:showLegendKey val="0"/>
              <c:showVal val="0"/>
              <c:showCatName val="1"/>
              <c:showSerName val="0"/>
              <c:showPercent val="1"/>
              <c:showBubbleSize val="0"/>
              <c:separator>, </c:separator>
              <c:extLst>
                <c:ext xmlns:c15="http://schemas.microsoft.com/office/drawing/2012/chart" uri="{CE6537A1-D6FC-4f65-9D91-7224C49458BB}">
                  <c15:showDataLabelsRange val="1"/>
                </c:ext>
                <c:ext xmlns:c16="http://schemas.microsoft.com/office/drawing/2014/chart" uri="{C3380CC4-5D6E-409C-BE32-E72D297353CC}">
                  <c16:uniqueId val="{00000005-5E45-44A8-8E3B-0116BB4D35C4}"/>
                </c:ext>
              </c:extLst>
            </c:dLbl>
            <c:numFmt formatCode="0.00%" sourceLinked="0"/>
            <c:spPr>
              <a:noFill/>
              <a:ln>
                <a:noFill/>
              </a:ln>
              <a:effectLst/>
            </c:spPr>
            <c:txPr>
              <a:bodyPr wrap="square" lIns="38100" tIns="19050" rIns="38100" bIns="19050" anchor="ctr">
                <a:spAutoFit/>
              </a:bodyPr>
              <a:lstStyle/>
              <a:p>
                <a:pPr>
                  <a:defRPr sz="1200" b="0" baseline="0">
                    <a:latin typeface="Arial" panose="020B0604020202020204" pitchFamily="34" charset="0"/>
                    <a:cs typeface="Arial" panose="020B0604020202020204" pitchFamily="34" charset="0"/>
                  </a:defRPr>
                </a:pPr>
                <a:endParaRPr lang="en-US"/>
              </a:p>
            </c:txPr>
            <c:dLblPos val="outEnd"/>
            <c:showLegendKey val="0"/>
            <c:showVal val="0"/>
            <c:showCatName val="1"/>
            <c:showSerName val="0"/>
            <c:showPercent val="1"/>
            <c:showBubbleSize val="0"/>
            <c:separator>, </c:separator>
            <c:showLeaderLines val="1"/>
            <c:extLst>
              <c:ext xmlns:c15="http://schemas.microsoft.com/office/drawing/2012/chart" uri="{CE6537A1-D6FC-4f65-9D91-7224C49458BB}">
                <c15:showDataLabelsRange val="1"/>
              </c:ext>
            </c:extLst>
          </c:dLbls>
          <c:cat>
            <c:strRef>
              <c:f>('[14]2022 Joint Table A1 Pies -Gas'!$B$30:$B$31,'[14]2022 Joint Table A1 Pies -Gas'!$B$34)</c:f>
              <c:strCache>
                <c:ptCount val="3"/>
                <c:pt idx="0">
                  <c:v>Res. Income-Eligible</c:v>
                </c:pt>
                <c:pt idx="1">
                  <c:v>Res. Non Income-Eligible</c:v>
                </c:pt>
                <c:pt idx="2">
                  <c:v>Commercial and Industrial</c:v>
                </c:pt>
              </c:strCache>
            </c:strRef>
          </c:cat>
          <c:val>
            <c:numRef>
              <c:f>('[14]2022 Joint Table A1 Pies -Gas'!$F$30:$F$31,'[14]2022 Joint Table A1 Pies -Gas'!$F$34)</c:f>
              <c:numCache>
                <c:formatCode>General</c:formatCode>
                <c:ptCount val="3"/>
                <c:pt idx="0">
                  <c:v>0.26024173923760957</c:v>
                </c:pt>
                <c:pt idx="1">
                  <c:v>0.39612311683932178</c:v>
                </c:pt>
                <c:pt idx="2">
                  <c:v>0.34363514392306865</c:v>
                </c:pt>
              </c:numCache>
            </c:numRef>
          </c:val>
          <c:extLst>
            <c:ext xmlns:c15="http://schemas.microsoft.com/office/drawing/2012/chart" uri="{02D57815-91ED-43cb-92C2-25804820EDAC}">
              <c15:datalabelsRange>
                <c15:f>'[14]2022 Joint Table A1 Pies -Gas'!$F$34</c15:f>
                <c15:dlblRangeCache>
                  <c:ptCount val="1"/>
                  <c:pt idx="0">
                    <c:v>0.343635144</c:v>
                  </c:pt>
                </c15:dlblRangeCache>
              </c15:datalabelsRange>
            </c:ext>
            <c:ext xmlns:c16="http://schemas.microsoft.com/office/drawing/2014/chart" uri="{C3380CC4-5D6E-409C-BE32-E72D297353CC}">
              <c16:uniqueId val="{00000006-5E45-44A8-8E3B-0116BB4D35C4}"/>
            </c:ext>
          </c:extLst>
        </c:ser>
        <c:dLbls>
          <c:showLegendKey val="0"/>
          <c:showVal val="0"/>
          <c:showCatName val="0"/>
          <c:showSerName val="0"/>
          <c:showPercent val="1"/>
          <c:showBubbleSize val="0"/>
          <c:showLeaderLines val="1"/>
        </c:dLbls>
        <c:firstSliceAng val="0"/>
      </c:pieChart>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Revenue by Customer Class </a:t>
            </a:r>
          </a:p>
        </c:rich>
      </c:tx>
      <c:layout>
        <c:manualLayout>
          <c:xMode val="edge"/>
          <c:yMode val="edge"/>
          <c:x val="0.2437536860858141"/>
          <c:y val="2.2576352959057695E-2"/>
        </c:manualLayout>
      </c:layout>
      <c:overlay val="0"/>
    </c:title>
    <c:autoTitleDeleted val="0"/>
    <c:plotArea>
      <c:layout/>
      <c:pieChart>
        <c:varyColors val="1"/>
        <c:ser>
          <c:idx val="0"/>
          <c:order val="0"/>
          <c:spPr>
            <a:solidFill>
              <a:schemeClr val="tx2"/>
            </a:solidFill>
          </c:spPr>
          <c:dPt>
            <c:idx val="0"/>
            <c:bubble3D val="0"/>
            <c:explosion val="8"/>
            <c:spPr>
              <a:solidFill>
                <a:schemeClr val="accent1"/>
              </a:solidFill>
            </c:spPr>
            <c:extLst>
              <c:ext xmlns:c16="http://schemas.microsoft.com/office/drawing/2014/chart" uri="{C3380CC4-5D6E-409C-BE32-E72D297353CC}">
                <c16:uniqueId val="{00000001-2271-4D86-B6F1-F43861B00786}"/>
              </c:ext>
            </c:extLst>
          </c:dPt>
          <c:dPt>
            <c:idx val="1"/>
            <c:bubble3D val="0"/>
            <c:explosion val="5"/>
            <c:extLst>
              <c:ext xmlns:c16="http://schemas.microsoft.com/office/drawing/2014/chart" uri="{C3380CC4-5D6E-409C-BE32-E72D297353CC}">
                <c16:uniqueId val="{00000003-2271-4D86-B6F1-F43861B00786}"/>
              </c:ext>
            </c:extLst>
          </c:dPt>
          <c:dPt>
            <c:idx val="2"/>
            <c:bubble3D val="0"/>
            <c:spPr>
              <a:solidFill>
                <a:schemeClr val="accent6">
                  <a:lumMod val="75000"/>
                </a:schemeClr>
              </a:solidFill>
            </c:spPr>
            <c:extLst>
              <c:ext xmlns:c16="http://schemas.microsoft.com/office/drawing/2014/chart" uri="{C3380CC4-5D6E-409C-BE32-E72D297353CC}">
                <c16:uniqueId val="{00000005-2271-4D86-B6F1-F43861B00786}"/>
              </c:ext>
            </c:extLst>
          </c:dPt>
          <c:dLbls>
            <c:dLbl>
              <c:idx val="0"/>
              <c:layout>
                <c:manualLayout>
                  <c:x val="0.10165319677698825"/>
                  <c:y val="0.15359001046748752"/>
                </c:manualLayout>
              </c:layout>
              <c:tx>
                <c:rich>
                  <a:bodyPr wrap="square" lIns="38100" tIns="19050" rIns="38100" bIns="19050" anchor="ctr">
                    <a:spAutoFit/>
                  </a:bodyPr>
                  <a:lstStyle/>
                  <a:p>
                    <a:pPr>
                      <a:defRPr sz="1200" b="0" i="0" baseline="0">
                        <a:latin typeface="Arial" panose="020B0604020202020204" pitchFamily="34" charset="0"/>
                        <a:cs typeface="Arial" panose="020B0604020202020204" pitchFamily="34" charset="0"/>
                      </a:defRPr>
                    </a:pPr>
                    <a:r>
                      <a:rPr lang="en-US" sz="1200" b="0" i="0" baseline="0"/>
                      <a:t>Res. Income- Eligible</a:t>
                    </a:r>
                  </a:p>
                  <a:p>
                    <a:pPr>
                      <a:defRPr sz="1200" b="0" i="0" baseline="0">
                        <a:latin typeface="Arial" panose="020B0604020202020204" pitchFamily="34" charset="0"/>
                        <a:cs typeface="Arial" panose="020B0604020202020204" pitchFamily="34" charset="0"/>
                      </a:defRPr>
                    </a:pPr>
                    <a:r>
                      <a:rPr lang="en-US" sz="1200" b="0" i="0" baseline="0"/>
                      <a:t> 13.00%</a:t>
                    </a:r>
                  </a:p>
                </c:rich>
              </c:tx>
              <c:numFmt formatCode="0.00%" sourceLinked="0"/>
              <c:spPr>
                <a:noFill/>
                <a:ln>
                  <a:noFill/>
                </a:ln>
                <a:effectLst/>
              </c:spPr>
              <c:dLblPos val="bestFit"/>
              <c:showLegendKey val="0"/>
              <c:showVal val="0"/>
              <c:showCatName val="1"/>
              <c:showSerName val="0"/>
              <c:showPercent val="1"/>
              <c:showBubbleSize val="0"/>
              <c:separator>, </c:separator>
              <c:extLst>
                <c:ext xmlns:c15="http://schemas.microsoft.com/office/drawing/2012/chart" uri="{CE6537A1-D6FC-4f65-9D91-7224C49458BB}">
                  <c15:showDataLabelsRange val="1"/>
                </c:ext>
                <c:ext xmlns:c16="http://schemas.microsoft.com/office/drawing/2014/chart" uri="{C3380CC4-5D6E-409C-BE32-E72D297353CC}">
                  <c16:uniqueId val="{00000001-2271-4D86-B6F1-F43861B00786}"/>
                </c:ext>
              </c:extLst>
            </c:dLbl>
            <c:dLbl>
              <c:idx val="1"/>
              <c:layout>
                <c:manualLayout>
                  <c:x val="2.5521339640522743E-2"/>
                  <c:y val="0.10952642099920798"/>
                </c:manualLayout>
              </c:layout>
              <c:tx>
                <c:rich>
                  <a:bodyPr/>
                  <a:lstStyle/>
                  <a:p>
                    <a:r>
                      <a:rPr lang="en-US"/>
                      <a:t>Res. Non Income- Eligible</a:t>
                    </a:r>
                    <a:r>
                      <a:rPr lang="en-US" baseline="0"/>
                      <a:t> 31.06</a:t>
                    </a:r>
                    <a:r>
                      <a:rPr lang="en-US"/>
                      <a:t>%</a:t>
                    </a:r>
                  </a:p>
                </c:rich>
              </c:tx>
              <c:dLblPos val="bestFit"/>
              <c:showLegendKey val="0"/>
              <c:showVal val="0"/>
              <c:showCatName val="1"/>
              <c:showSerName val="0"/>
              <c:showPercent val="1"/>
              <c:showBubbleSize val="0"/>
              <c:separator>, </c:separator>
              <c:extLst>
                <c:ext xmlns:c15="http://schemas.microsoft.com/office/drawing/2012/chart" uri="{CE6537A1-D6FC-4f65-9D91-7224C49458BB}">
                  <c15:showDataLabelsRange val="1"/>
                </c:ext>
                <c:ext xmlns:c16="http://schemas.microsoft.com/office/drawing/2014/chart" uri="{C3380CC4-5D6E-409C-BE32-E72D297353CC}">
                  <c16:uniqueId val="{00000003-2271-4D86-B6F1-F43861B00786}"/>
                </c:ext>
              </c:extLst>
            </c:dLbl>
            <c:dLbl>
              <c:idx val="2"/>
              <c:layout>
                <c:manualLayout>
                  <c:x val="-5.0201946660050352E-2"/>
                  <c:y val="-0.22352070817456557"/>
                </c:manualLayout>
              </c:layout>
              <c:tx>
                <c:rich>
                  <a:bodyPr/>
                  <a:lstStyle/>
                  <a:p>
                    <a:r>
                      <a:rPr lang="en-US"/>
                      <a:t>Commercial and Industrial 55.94%</a:t>
                    </a:r>
                  </a:p>
                </c:rich>
              </c:tx>
              <c:dLblPos val="bestFit"/>
              <c:showLegendKey val="0"/>
              <c:showVal val="0"/>
              <c:showCatName val="1"/>
              <c:showSerName val="0"/>
              <c:showPercent val="1"/>
              <c:showBubbleSize val="0"/>
              <c:separator>, </c:separator>
              <c:extLst>
                <c:ext xmlns:c15="http://schemas.microsoft.com/office/drawing/2012/chart" uri="{CE6537A1-D6FC-4f65-9D91-7224C49458BB}">
                  <c15:showDataLabelsRange val="1"/>
                </c:ext>
                <c:ext xmlns:c16="http://schemas.microsoft.com/office/drawing/2014/chart" uri="{C3380CC4-5D6E-409C-BE32-E72D297353CC}">
                  <c16:uniqueId val="{00000005-2271-4D86-B6F1-F43861B00786}"/>
                </c:ext>
              </c:extLst>
            </c:dLbl>
            <c:numFmt formatCode="0.00%" sourceLinked="0"/>
            <c:spPr>
              <a:noFill/>
              <a:ln>
                <a:noFill/>
              </a:ln>
              <a:effectLst/>
            </c:spPr>
            <c:txPr>
              <a:bodyPr wrap="square" lIns="38100" tIns="19050" rIns="38100" bIns="19050" anchor="ctr">
                <a:spAutoFit/>
              </a:bodyPr>
              <a:lstStyle/>
              <a:p>
                <a:pPr>
                  <a:defRPr sz="1200" b="0" baseline="0">
                    <a:latin typeface="Arial" panose="020B0604020202020204" pitchFamily="34" charset="0"/>
                    <a:cs typeface="Arial" panose="020B0604020202020204" pitchFamily="34" charset="0"/>
                  </a:defRPr>
                </a:pPr>
                <a:endParaRPr lang="en-US"/>
              </a:p>
            </c:txPr>
            <c:dLblPos val="outEnd"/>
            <c:showLegendKey val="0"/>
            <c:showVal val="0"/>
            <c:showCatName val="1"/>
            <c:showSerName val="0"/>
            <c:showPercent val="1"/>
            <c:showBubbleSize val="0"/>
            <c:separator>, </c:separator>
            <c:showLeaderLines val="1"/>
            <c:extLst>
              <c:ext xmlns:c15="http://schemas.microsoft.com/office/drawing/2012/chart" uri="{CE6537A1-D6FC-4f65-9D91-7224C49458BB}">
                <c15:showDataLabelsRange val="1"/>
              </c:ext>
            </c:extLst>
          </c:dLbls>
          <c:cat>
            <c:strRef>
              <c:f>('[14]2022 Joint Table A1 Pies -Gas'!$B$30:$B$31,'[14]2022 Joint Table A1 Pies -Gas'!$B$34)</c:f>
              <c:strCache>
                <c:ptCount val="3"/>
                <c:pt idx="0">
                  <c:v>Res. Income-Eligible</c:v>
                </c:pt>
                <c:pt idx="1">
                  <c:v>Res. Non Income-Eligible</c:v>
                </c:pt>
                <c:pt idx="2">
                  <c:v>Commercial and Industrial</c:v>
                </c:pt>
              </c:strCache>
            </c:strRef>
          </c:cat>
          <c:val>
            <c:numRef>
              <c:f>('[14]2022 Joint Table A1 Pies -Gas'!$G$30:$G$31,'[14]2022 Joint Table A1 Pies -Gas'!$G$34)</c:f>
              <c:numCache>
                <c:formatCode>General</c:formatCode>
                <c:ptCount val="3"/>
                <c:pt idx="0">
                  <c:v>0.12348029999999999</c:v>
                </c:pt>
                <c:pt idx="1">
                  <c:v>0.35332329000000001</c:v>
                </c:pt>
                <c:pt idx="2">
                  <c:v>0.52319640999999995</c:v>
                </c:pt>
              </c:numCache>
            </c:numRef>
          </c:val>
          <c:extLst>
            <c:ext xmlns:c15="http://schemas.microsoft.com/office/drawing/2012/chart" uri="{02D57815-91ED-43cb-92C2-25804820EDAC}">
              <c15:datalabelsRange>
                <c15:f>'[14]2022 Joint Table A1 Pies -Gas'!$G$30</c15:f>
                <c15:dlblRangeCache>
                  <c:ptCount val="1"/>
                  <c:pt idx="0">
                    <c:v>0.1234803</c:v>
                  </c:pt>
                </c15:dlblRangeCache>
              </c15:datalabelsRange>
            </c:ext>
            <c:ext xmlns:c16="http://schemas.microsoft.com/office/drawing/2014/chart" uri="{C3380CC4-5D6E-409C-BE32-E72D297353CC}">
              <c16:uniqueId val="{00000006-2271-4D86-B6F1-F43861B00786}"/>
            </c:ext>
          </c:extLst>
        </c:ser>
        <c:dLbls>
          <c:showLegendKey val="0"/>
          <c:showVal val="0"/>
          <c:showCatName val="0"/>
          <c:showSerName val="0"/>
          <c:showPercent val="1"/>
          <c:showBubbleSize val="0"/>
          <c:showLeaderLines val="1"/>
        </c:dLbls>
        <c:firstSliceAng val="0"/>
      </c:pieChart>
    </c:plotArea>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Budget by Customer Class </a:t>
            </a:r>
          </a:p>
        </c:rich>
      </c:tx>
      <c:layout>
        <c:manualLayout>
          <c:xMode val="edge"/>
          <c:yMode val="edge"/>
          <c:x val="0.25408489487791686"/>
          <c:y val="0"/>
        </c:manualLayout>
      </c:layout>
      <c:overlay val="0"/>
    </c:title>
    <c:autoTitleDeleted val="0"/>
    <c:plotArea>
      <c:layout>
        <c:manualLayout>
          <c:layoutTarget val="inner"/>
          <c:xMode val="edge"/>
          <c:yMode val="edge"/>
          <c:x val="0.16656216154591574"/>
          <c:y val="0.11134376157786315"/>
          <c:w val="0.6843501779863076"/>
          <c:h val="0.86637159357019067"/>
        </c:manualLayout>
      </c:layout>
      <c:pieChart>
        <c:varyColors val="1"/>
        <c:ser>
          <c:idx val="0"/>
          <c:order val="0"/>
          <c:explosion val="3"/>
          <c:dPt>
            <c:idx val="1"/>
            <c:bubble3D val="0"/>
            <c:spPr>
              <a:solidFill>
                <a:schemeClr val="tx2"/>
              </a:solidFill>
            </c:spPr>
            <c:extLst>
              <c:ext xmlns:c16="http://schemas.microsoft.com/office/drawing/2014/chart" uri="{C3380CC4-5D6E-409C-BE32-E72D297353CC}">
                <c16:uniqueId val="{00000001-0903-4C07-AE29-C091F50C0997}"/>
              </c:ext>
            </c:extLst>
          </c:dPt>
          <c:dPt>
            <c:idx val="2"/>
            <c:bubble3D val="0"/>
            <c:spPr>
              <a:solidFill>
                <a:schemeClr val="accent6">
                  <a:lumMod val="50000"/>
                </a:schemeClr>
              </a:solidFill>
            </c:spPr>
            <c:extLst>
              <c:ext xmlns:c16="http://schemas.microsoft.com/office/drawing/2014/chart" uri="{C3380CC4-5D6E-409C-BE32-E72D297353CC}">
                <c16:uniqueId val="{00000003-0903-4C07-AE29-C091F50C0997}"/>
              </c:ext>
            </c:extLst>
          </c:dPt>
          <c:dPt>
            <c:idx val="3"/>
            <c:bubble3D val="0"/>
            <c:spPr>
              <a:solidFill>
                <a:schemeClr val="accent6">
                  <a:lumMod val="75000"/>
                </a:schemeClr>
              </a:solidFill>
            </c:spPr>
            <c:extLst>
              <c:ext xmlns:c16="http://schemas.microsoft.com/office/drawing/2014/chart" uri="{C3380CC4-5D6E-409C-BE32-E72D297353CC}">
                <c16:uniqueId val="{00000005-0903-4C07-AE29-C091F50C0997}"/>
              </c:ext>
            </c:extLst>
          </c:dPt>
          <c:dPt>
            <c:idx val="4"/>
            <c:bubble3D val="0"/>
            <c:spPr>
              <a:solidFill>
                <a:schemeClr val="accent6">
                  <a:lumMod val="60000"/>
                  <a:lumOff val="40000"/>
                </a:schemeClr>
              </a:solidFill>
            </c:spPr>
            <c:extLst>
              <c:ext xmlns:c16="http://schemas.microsoft.com/office/drawing/2014/chart" uri="{C3380CC4-5D6E-409C-BE32-E72D297353CC}">
                <c16:uniqueId val="{00000007-0903-4C07-AE29-C091F50C0997}"/>
              </c:ext>
            </c:extLst>
          </c:dPt>
          <c:dPt>
            <c:idx val="5"/>
            <c:bubble3D val="0"/>
            <c:spPr>
              <a:solidFill>
                <a:schemeClr val="accent6">
                  <a:lumMod val="40000"/>
                  <a:lumOff val="60000"/>
                </a:schemeClr>
              </a:solidFill>
            </c:spPr>
            <c:extLst>
              <c:ext xmlns:c16="http://schemas.microsoft.com/office/drawing/2014/chart" uri="{C3380CC4-5D6E-409C-BE32-E72D297353CC}">
                <c16:uniqueId val="{00000009-0903-4C07-AE29-C091F50C0997}"/>
              </c:ext>
            </c:extLst>
          </c:dPt>
          <c:dLbls>
            <c:dLbl>
              <c:idx val="0"/>
              <c:layout>
                <c:manualLayout>
                  <c:x val="-0.20690814884412095"/>
                  <c:y val="0.16681823901672821"/>
                </c:manualLayout>
              </c:layout>
              <c:tx>
                <c:rich>
                  <a:bodyPr wrap="square" lIns="38100" tIns="19050" rIns="38100" bIns="19050" anchor="ctr">
                    <a:spAutoFit/>
                  </a:bodyPr>
                  <a:lstStyle/>
                  <a:p>
                    <a:pPr>
                      <a:defRPr sz="1200" b="1" i="0" baseline="0">
                        <a:solidFill>
                          <a:schemeClr val="bg1"/>
                        </a:solidFill>
                        <a:latin typeface="Arial" panose="020B0604020202020204" pitchFamily="34" charset="0"/>
                        <a:cs typeface="Arial" panose="020B0604020202020204" pitchFamily="34" charset="0"/>
                      </a:defRPr>
                    </a:pPr>
                    <a:r>
                      <a:rPr lang="en-US" sz="1200" b="1" i="0" baseline="0">
                        <a:solidFill>
                          <a:schemeClr val="bg1"/>
                        </a:solidFill>
                      </a:rPr>
                      <a:t>Res. Income- Eligible</a:t>
                    </a:r>
                  </a:p>
                  <a:p>
                    <a:pPr>
                      <a:defRPr sz="1200" b="1" i="0" baseline="0">
                        <a:solidFill>
                          <a:schemeClr val="bg1"/>
                        </a:solidFill>
                        <a:latin typeface="Arial" panose="020B0604020202020204" pitchFamily="34" charset="0"/>
                        <a:cs typeface="Arial" panose="020B0604020202020204" pitchFamily="34" charset="0"/>
                      </a:defRPr>
                    </a:pPr>
                    <a:r>
                      <a:rPr lang="en-US" sz="1200" b="1" i="0" baseline="0">
                        <a:solidFill>
                          <a:schemeClr val="bg1"/>
                        </a:solidFill>
                      </a:rPr>
                      <a:t> 26%</a:t>
                    </a:r>
                  </a:p>
                </c:rich>
              </c:tx>
              <c:numFmt formatCode="0.00%" sourceLinked="0"/>
              <c:spPr>
                <a:noFill/>
                <a:ln>
                  <a:noFill/>
                </a:ln>
                <a:effectLst/>
              </c:spPr>
              <c:dLblPos val="bestFit"/>
              <c:showLegendKey val="0"/>
              <c:showVal val="0"/>
              <c:showCatName val="1"/>
              <c:showSerName val="0"/>
              <c:showPercent val="1"/>
              <c:showBubbleSize val="0"/>
              <c:separator>, </c:separator>
              <c:extLst>
                <c:ext xmlns:c15="http://schemas.microsoft.com/office/drawing/2012/chart" uri="{CE6537A1-D6FC-4f65-9D91-7224C49458BB}">
                  <c15:showDataLabelsRange val="1"/>
                </c:ext>
                <c:ext xmlns:c16="http://schemas.microsoft.com/office/drawing/2014/chart" uri="{C3380CC4-5D6E-409C-BE32-E72D297353CC}">
                  <c16:uniqueId val="{0000000A-0903-4C07-AE29-C091F50C0997}"/>
                </c:ext>
              </c:extLst>
            </c:dLbl>
            <c:dLbl>
              <c:idx val="1"/>
              <c:layout>
                <c:manualLayout>
                  <c:x val="-0.11368755000029485"/>
                  <c:y val="-0.14892710339222931"/>
                </c:manualLayout>
              </c:layout>
              <c:tx>
                <c:rich>
                  <a:bodyPr/>
                  <a:lstStyle/>
                  <a:p>
                    <a:r>
                      <a:rPr lang="en-US"/>
                      <a:t>Res. Non Income- Eligible</a:t>
                    </a:r>
                    <a:r>
                      <a:rPr lang="en-US" baseline="0"/>
                      <a:t> 40</a:t>
                    </a:r>
                    <a:r>
                      <a:rPr lang="en-US"/>
                      <a:t>%</a:t>
                    </a:r>
                  </a:p>
                </c:rich>
              </c:tx>
              <c:dLblPos val="bestFit"/>
              <c:showLegendKey val="0"/>
              <c:showVal val="0"/>
              <c:showCatName val="1"/>
              <c:showSerName val="0"/>
              <c:showPercent val="1"/>
              <c:showBubbleSize val="0"/>
              <c:separator>, </c:separator>
              <c:extLst>
                <c:ext xmlns:c15="http://schemas.microsoft.com/office/drawing/2012/chart" uri="{CE6537A1-D6FC-4f65-9D91-7224C49458BB}">
                  <c15:showDataLabelsRange val="1"/>
                </c:ext>
                <c:ext xmlns:c16="http://schemas.microsoft.com/office/drawing/2014/chart" uri="{C3380CC4-5D6E-409C-BE32-E72D297353CC}">
                  <c16:uniqueId val="{00000001-0903-4C07-AE29-C091F50C0997}"/>
                </c:ext>
              </c:extLst>
            </c:dLbl>
            <c:dLbl>
              <c:idx val="2"/>
              <c:layout>
                <c:manualLayout>
                  <c:x val="0.18037806611144633"/>
                  <c:y val="-5.5262159169015869E-2"/>
                </c:manualLayout>
              </c:layout>
              <c:tx>
                <c:rich>
                  <a:bodyPr/>
                  <a:lstStyle/>
                  <a:p>
                    <a:r>
                      <a:rPr lang="en-US" baseline="0"/>
                      <a:t>C&amp;I Q1, </a:t>
                    </a:r>
                  </a:p>
                  <a:p>
                    <a:fld id="{E935B9DA-AF05-454D-AA85-88C36AF75DAA}" type="VALUE">
                      <a:rPr lang="en-US" baseline="0"/>
                      <a:pPr/>
                      <a:t>[VALUE]</a:t>
                    </a:fld>
                    <a:endParaRPr lang="en-US"/>
                  </a:p>
                </c:rich>
              </c:tx>
              <c:dLblPos val="bestFit"/>
              <c:showLegendKey val="0"/>
              <c:showVal val="0"/>
              <c:showCatName val="1"/>
              <c:showSerName val="0"/>
              <c:showPercent val="1"/>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0903-4C07-AE29-C091F50C0997}"/>
                </c:ext>
              </c:extLst>
            </c:dLbl>
            <c:dLbl>
              <c:idx val="3"/>
              <c:layout>
                <c:manualLayout>
                  <c:x val="0.1486117854257617"/>
                  <c:y val="2.5361881074696425E-2"/>
                </c:manualLayout>
              </c:layout>
              <c:tx>
                <c:rich>
                  <a:bodyPr/>
                  <a:lstStyle/>
                  <a:p>
                    <a:r>
                      <a:rPr lang="en-US" baseline="0"/>
                      <a:t>C&amp;I Q2,</a:t>
                    </a:r>
                  </a:p>
                  <a:p>
                    <a:r>
                      <a:rPr lang="en-US" baseline="0"/>
                      <a:t> </a:t>
                    </a:r>
                    <a:fld id="{5B0CF1E5-8963-4DF9-B753-CA944619E877}" type="VALUE">
                      <a:rPr lang="en-US" baseline="0"/>
                      <a:pPr/>
                      <a:t>[VALUE]</a:t>
                    </a:fld>
                    <a:endParaRPr lang="en-US" baseline="0"/>
                  </a:p>
                </c:rich>
              </c:tx>
              <c:dLblPos val="bestFit"/>
              <c:showLegendKey val="0"/>
              <c:showVal val="0"/>
              <c:showCatName val="1"/>
              <c:showSerName val="0"/>
              <c:showPercent val="1"/>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5-0903-4C07-AE29-C091F50C0997}"/>
                </c:ext>
              </c:extLst>
            </c:dLbl>
            <c:dLbl>
              <c:idx val="4"/>
              <c:layout>
                <c:manualLayout>
                  <c:x val="0.19680283126976669"/>
                  <c:y val="0.13728795120139053"/>
                </c:manualLayout>
              </c:layout>
              <c:tx>
                <c:rich>
                  <a:bodyPr wrap="square" lIns="38100" tIns="19050" rIns="38100" bIns="19050" anchor="ctr" anchorCtr="0">
                    <a:noAutofit/>
                  </a:bodyPr>
                  <a:lstStyle/>
                  <a:p>
                    <a:pPr algn="l">
                      <a:defRPr sz="1200" b="1" baseline="0">
                        <a:solidFill>
                          <a:sysClr val="windowText" lastClr="000000"/>
                        </a:solidFill>
                        <a:latin typeface="Arial" panose="020B0604020202020204" pitchFamily="34" charset="0"/>
                        <a:cs typeface="Arial" panose="020B0604020202020204" pitchFamily="34" charset="0"/>
                      </a:defRPr>
                    </a:pPr>
                    <a:fld id="{CDABA8FD-5264-4F14-BEE4-8A78921766AE}" type="CATEGORYNAME">
                      <a:rPr lang="en-US" b="1">
                        <a:solidFill>
                          <a:sysClr val="windowText" lastClr="000000"/>
                        </a:solidFill>
                      </a:rPr>
                      <a:pPr algn="l">
                        <a:defRPr sz="1200" b="1" baseline="0">
                          <a:solidFill>
                            <a:sysClr val="windowText" lastClr="000000"/>
                          </a:solidFill>
                          <a:latin typeface="Arial" panose="020B0604020202020204" pitchFamily="34" charset="0"/>
                          <a:cs typeface="Arial" panose="020B0604020202020204" pitchFamily="34" charset="0"/>
                        </a:defRPr>
                      </a:pPr>
                      <a:t>[CATEGORY NAME]</a:t>
                    </a:fld>
                    <a:r>
                      <a:rPr lang="en-US" b="1">
                        <a:solidFill>
                          <a:sysClr val="windowText" lastClr="000000"/>
                        </a:solidFill>
                      </a:rPr>
                      <a:t>C&amp;I Q3</a:t>
                    </a:r>
                    <a:r>
                      <a:rPr lang="en-US" b="1" baseline="0">
                        <a:solidFill>
                          <a:sysClr val="windowText" lastClr="000000"/>
                        </a:solidFill>
                      </a:rPr>
                      <a:t>,     </a:t>
                    </a:r>
                    <a:fld id="{975ADCFA-A200-4B9B-9A40-8644D8DF9D2F}" type="VALUE">
                      <a:rPr lang="en-US" b="1" baseline="0">
                        <a:solidFill>
                          <a:sysClr val="windowText" lastClr="000000"/>
                        </a:solidFill>
                      </a:rPr>
                      <a:pPr algn="l">
                        <a:defRPr sz="1200" b="1" baseline="0">
                          <a:solidFill>
                            <a:sysClr val="windowText" lastClr="000000"/>
                          </a:solidFill>
                          <a:latin typeface="Arial" panose="020B0604020202020204" pitchFamily="34" charset="0"/>
                          <a:cs typeface="Arial" panose="020B0604020202020204" pitchFamily="34" charset="0"/>
                        </a:defRPr>
                      </a:pPr>
                      <a:t>[VALUE]</a:t>
                    </a:fld>
                    <a:fld id="{6E8D0133-801C-4643-A77D-511489D25081}" type="CATEGORYNAME">
                      <a:rPr lang="en-US" b="1" baseline="0">
                        <a:solidFill>
                          <a:sysClr val="windowText" lastClr="000000"/>
                        </a:solidFill>
                      </a:rPr>
                      <a:pPr algn="l">
                        <a:defRPr sz="1200" b="1" baseline="0">
                          <a:solidFill>
                            <a:sysClr val="windowText" lastClr="000000"/>
                          </a:solidFill>
                          <a:latin typeface="Arial" panose="020B0604020202020204" pitchFamily="34" charset="0"/>
                          <a:cs typeface="Arial" panose="020B0604020202020204" pitchFamily="34" charset="0"/>
                        </a:defRPr>
                      </a:pPr>
                      <a:t>[CATEGORY NAME]</a:t>
                    </a:fld>
                    <a:fld id="{1AC15FC8-0A7A-49E7-BD48-23E0E5DA061D}" type="CATEGORYNAME">
                      <a:rPr lang="en-US" b="1" baseline="0">
                        <a:solidFill>
                          <a:sysClr val="windowText" lastClr="000000"/>
                        </a:solidFill>
                      </a:rPr>
                      <a:pPr algn="l">
                        <a:defRPr sz="1200" b="1" baseline="0">
                          <a:solidFill>
                            <a:sysClr val="windowText" lastClr="000000"/>
                          </a:solidFill>
                          <a:latin typeface="Arial" panose="020B0604020202020204" pitchFamily="34" charset="0"/>
                          <a:cs typeface="Arial" panose="020B0604020202020204" pitchFamily="34" charset="0"/>
                        </a:defRPr>
                      </a:pPr>
                      <a:t>[CATEGORY NAME]</a:t>
                    </a:fld>
                    <a:endParaRPr lang="en-US" b="1" baseline="0">
                      <a:solidFill>
                        <a:sysClr val="windowText" lastClr="000000"/>
                      </a:solidFill>
                    </a:endParaRPr>
                  </a:p>
                </c:rich>
              </c:tx>
              <c:numFmt formatCode="0.00%" sourceLinked="0"/>
              <c:spPr>
                <a:noFill/>
                <a:ln>
                  <a:noFill/>
                </a:ln>
                <a:effectLst/>
              </c:sp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19293532419251844"/>
                      <c:h val="0.11967363244927059"/>
                    </c:manualLayout>
                  </c15:layout>
                  <c15:dlblFieldTable/>
                  <c15:showDataLabelsRange val="1"/>
                </c:ext>
                <c:ext xmlns:c16="http://schemas.microsoft.com/office/drawing/2014/chart" uri="{C3380CC4-5D6E-409C-BE32-E72D297353CC}">
                  <c16:uniqueId val="{00000007-0903-4C07-AE29-C091F50C0997}"/>
                </c:ext>
              </c:extLst>
            </c:dLbl>
            <c:dLbl>
              <c:idx val="5"/>
              <c:layout>
                <c:manualLayout>
                  <c:x val="7.8145129111326414E-2"/>
                  <c:y val="0.17642695674974068"/>
                </c:manualLayout>
              </c:layout>
              <c:tx>
                <c:rich>
                  <a:bodyPr wrap="square" lIns="38100" tIns="19050" rIns="38100" bIns="19050" anchor="ctr">
                    <a:spAutoFit/>
                  </a:bodyPr>
                  <a:lstStyle/>
                  <a:p>
                    <a:pPr>
                      <a:defRPr sz="1200" b="1" baseline="0">
                        <a:solidFill>
                          <a:sysClr val="windowText" lastClr="000000"/>
                        </a:solidFill>
                        <a:latin typeface="Arial" panose="020B0604020202020204" pitchFamily="34" charset="0"/>
                        <a:cs typeface="Arial" panose="020B0604020202020204" pitchFamily="34" charset="0"/>
                      </a:defRPr>
                    </a:pPr>
                    <a:fld id="{1C45594E-0B10-4093-ABC7-79D4E496C38E}" type="CATEGORYNAME">
                      <a:rPr lang="en-US" b="1">
                        <a:solidFill>
                          <a:sysClr val="windowText" lastClr="000000"/>
                        </a:solidFill>
                      </a:rPr>
                      <a:pPr>
                        <a:defRPr sz="1200" b="1" baseline="0">
                          <a:solidFill>
                            <a:sysClr val="windowText" lastClr="000000"/>
                          </a:solidFill>
                          <a:latin typeface="Arial" panose="020B0604020202020204" pitchFamily="34" charset="0"/>
                          <a:cs typeface="Arial" panose="020B0604020202020204" pitchFamily="34" charset="0"/>
                        </a:defRPr>
                      </a:pPr>
                      <a:t>[CATEGORY NAME]</a:t>
                    </a:fld>
                    <a:r>
                      <a:rPr lang="en-US" b="1">
                        <a:solidFill>
                          <a:sysClr val="windowText" lastClr="000000"/>
                        </a:solidFill>
                      </a:rPr>
                      <a:t>C&amp;I Q4</a:t>
                    </a:r>
                    <a:r>
                      <a:rPr lang="en-US" b="1" baseline="0">
                        <a:solidFill>
                          <a:sysClr val="windowText" lastClr="000000"/>
                        </a:solidFill>
                      </a:rPr>
                      <a:t>,</a:t>
                    </a:r>
                  </a:p>
                  <a:p>
                    <a:pPr>
                      <a:defRPr sz="1200" b="1" baseline="0">
                        <a:solidFill>
                          <a:sysClr val="windowText" lastClr="000000"/>
                        </a:solidFill>
                        <a:latin typeface="Arial" panose="020B0604020202020204" pitchFamily="34" charset="0"/>
                        <a:cs typeface="Arial" panose="020B0604020202020204" pitchFamily="34" charset="0"/>
                      </a:defRPr>
                    </a:pPr>
                    <a:r>
                      <a:rPr lang="en-US" b="1" baseline="0">
                        <a:solidFill>
                          <a:sysClr val="windowText" lastClr="000000"/>
                        </a:solidFill>
                      </a:rPr>
                      <a:t> </a:t>
                    </a:r>
                    <a:fld id="{10D77CC6-5642-4CA8-95CB-0BB577314495}" type="VALUE">
                      <a:rPr lang="en-US" b="1" baseline="0">
                        <a:solidFill>
                          <a:sysClr val="windowText" lastClr="000000"/>
                        </a:solidFill>
                      </a:rPr>
                      <a:pPr>
                        <a:defRPr sz="1200" b="1" baseline="0">
                          <a:solidFill>
                            <a:sysClr val="windowText" lastClr="000000"/>
                          </a:solidFill>
                          <a:latin typeface="Arial" panose="020B0604020202020204" pitchFamily="34" charset="0"/>
                          <a:cs typeface="Arial" panose="020B0604020202020204" pitchFamily="34" charset="0"/>
                        </a:defRPr>
                      </a:pPr>
                      <a:t>[VALUE]</a:t>
                    </a:fld>
                    <a:endParaRPr lang="en-US" b="1" baseline="0">
                      <a:solidFill>
                        <a:sysClr val="windowText" lastClr="000000"/>
                      </a:solidFill>
                    </a:endParaRPr>
                  </a:p>
                </c:rich>
              </c:tx>
              <c:numFmt formatCode="0.00%" sourceLinked="0"/>
              <c:spPr>
                <a:noFill/>
                <a:ln>
                  <a:noFill/>
                </a:ln>
                <a:effectLst/>
              </c:spPr>
              <c:dLblPos val="bestFit"/>
              <c:showLegendKey val="0"/>
              <c:showVal val="0"/>
              <c:showCatName val="1"/>
              <c:showSerName val="0"/>
              <c:showPercent val="1"/>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9-0903-4C07-AE29-C091F50C0997}"/>
                </c:ext>
              </c:extLst>
            </c:dLbl>
            <c:numFmt formatCode="0.00%" sourceLinked="0"/>
            <c:spPr>
              <a:noFill/>
              <a:ln>
                <a:noFill/>
              </a:ln>
              <a:effectLst/>
            </c:spPr>
            <c:txPr>
              <a:bodyPr wrap="square" lIns="38100" tIns="19050" rIns="38100" bIns="19050" anchor="ctr">
                <a:spAutoFit/>
              </a:bodyPr>
              <a:lstStyle/>
              <a:p>
                <a:pPr>
                  <a:defRPr sz="1200" b="1" baseline="0">
                    <a:solidFill>
                      <a:schemeClr val="bg1"/>
                    </a:solidFill>
                    <a:latin typeface="Arial" panose="020B0604020202020204" pitchFamily="34" charset="0"/>
                    <a:cs typeface="Arial" panose="020B0604020202020204" pitchFamily="34" charset="0"/>
                  </a:defRPr>
                </a:pPr>
                <a:endParaRPr lang="en-US"/>
              </a:p>
            </c:txPr>
            <c:dLblPos val="inEnd"/>
            <c:showLegendKey val="0"/>
            <c:showVal val="0"/>
            <c:showCatName val="1"/>
            <c:showSerName val="0"/>
            <c:showPercent val="1"/>
            <c:showBubbleSize val="0"/>
            <c:separator>, </c:separator>
            <c:showLeaderLines val="1"/>
            <c:extLst>
              <c:ext xmlns:c15="http://schemas.microsoft.com/office/drawing/2012/chart" uri="{CE6537A1-D6FC-4f65-9D91-7224C49458BB}">
                <c15:showDataLabelsRange val="1"/>
              </c:ext>
            </c:extLst>
          </c:dLbls>
          <c:cat>
            <c:strRef>
              <c:f>'[14]2022 Joint Table A1 Pies -Gas'!$B$35:$B$38</c:f>
              <c:strCache>
                <c:ptCount val="4"/>
                <c:pt idx="0">
                  <c:v>C&amp;I Q1</c:v>
                </c:pt>
                <c:pt idx="1">
                  <c:v>C&amp;I Q2</c:v>
                </c:pt>
                <c:pt idx="2">
                  <c:v>C&amp;I Q3</c:v>
                </c:pt>
                <c:pt idx="3">
                  <c:v>C&amp;I Q4</c:v>
                </c:pt>
              </c:strCache>
            </c:strRef>
          </c:cat>
          <c:val>
            <c:numRef>
              <c:f>('[14]2022 Joint Table A1 Pies -Gas'!$F$30:$F$31,'[14]2022 Joint Table A1 Pies -Gas'!$F$35:$F$38)</c:f>
              <c:numCache>
                <c:formatCode>General</c:formatCode>
                <c:ptCount val="6"/>
                <c:pt idx="0">
                  <c:v>0.26024173923760957</c:v>
                </c:pt>
                <c:pt idx="1">
                  <c:v>0.39612311683932178</c:v>
                </c:pt>
                <c:pt idx="2">
                  <c:v>8.5908785980767163E-2</c:v>
                </c:pt>
                <c:pt idx="3">
                  <c:v>8.5908785980767163E-2</c:v>
                </c:pt>
                <c:pt idx="4">
                  <c:v>8.5908785980767163E-2</c:v>
                </c:pt>
                <c:pt idx="5">
                  <c:v>8.5908785980767163E-2</c:v>
                </c:pt>
              </c:numCache>
            </c:numRef>
          </c:val>
          <c:extLst>
            <c:ext xmlns:c15="http://schemas.microsoft.com/office/drawing/2012/chart" uri="{02D57815-91ED-43cb-92C2-25804820EDAC}">
              <c15:datalabelsRange>
                <c15:f>'[14]2022 Joint Table A1 Pies -Gas'!$F$34</c15:f>
                <c15:dlblRangeCache>
                  <c:ptCount val="1"/>
                  <c:pt idx="0">
                    <c:v>0.343635144</c:v>
                  </c:pt>
                </c15:dlblRangeCache>
              </c15:datalabelsRange>
            </c:ext>
            <c:ext xmlns:c16="http://schemas.microsoft.com/office/drawing/2014/chart" uri="{C3380CC4-5D6E-409C-BE32-E72D297353CC}">
              <c16:uniqueId val="{0000000B-0903-4C07-AE29-C091F50C0997}"/>
            </c:ext>
          </c:extLst>
        </c:ser>
        <c:dLbls>
          <c:showLegendKey val="0"/>
          <c:showVal val="0"/>
          <c:showCatName val="0"/>
          <c:showSerName val="0"/>
          <c:showPercent val="1"/>
          <c:showBubbleSize val="0"/>
          <c:showLeaderLines val="1"/>
        </c:dLbls>
        <c:firstSliceAng val="0"/>
      </c:pieChart>
    </c:plotArea>
    <c:plotVisOnly val="1"/>
    <c:dispBlanksAs val="gap"/>
    <c:showDLblsOverMax val="0"/>
  </c:chart>
  <c:spPr>
    <a:noFill/>
    <a:ln>
      <a:no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Revenue by Customer Class </a:t>
            </a:r>
          </a:p>
        </c:rich>
      </c:tx>
      <c:layout>
        <c:manualLayout>
          <c:xMode val="edge"/>
          <c:yMode val="edge"/>
          <c:x val="0.2437536860858141"/>
          <c:y val="0"/>
        </c:manualLayout>
      </c:layout>
      <c:overlay val="0"/>
    </c:title>
    <c:autoTitleDeleted val="0"/>
    <c:plotArea>
      <c:layout>
        <c:manualLayout>
          <c:layoutTarget val="inner"/>
          <c:xMode val="edge"/>
          <c:yMode val="edge"/>
          <c:x val="0.21041139302031692"/>
          <c:y val="0.12477888799790063"/>
          <c:w val="0.67500690191503832"/>
          <c:h val="0.87522111200209929"/>
        </c:manualLayout>
      </c:layout>
      <c:pieChart>
        <c:varyColors val="1"/>
        <c:ser>
          <c:idx val="0"/>
          <c:order val="0"/>
          <c:explosion val="4"/>
          <c:dPt>
            <c:idx val="0"/>
            <c:bubble3D val="0"/>
            <c:explosion val="2"/>
            <c:spPr>
              <a:solidFill>
                <a:schemeClr val="accent1"/>
              </a:solidFill>
            </c:spPr>
            <c:extLst>
              <c:ext xmlns:c16="http://schemas.microsoft.com/office/drawing/2014/chart" uri="{C3380CC4-5D6E-409C-BE32-E72D297353CC}">
                <c16:uniqueId val="{00000001-1D8B-4693-9E86-535783A3FDEF}"/>
              </c:ext>
            </c:extLst>
          </c:dPt>
          <c:dPt>
            <c:idx val="1"/>
            <c:bubble3D val="0"/>
            <c:spPr>
              <a:solidFill>
                <a:schemeClr val="tx2"/>
              </a:solidFill>
            </c:spPr>
            <c:extLst>
              <c:ext xmlns:c16="http://schemas.microsoft.com/office/drawing/2014/chart" uri="{C3380CC4-5D6E-409C-BE32-E72D297353CC}">
                <c16:uniqueId val="{00000003-1D8B-4693-9E86-535783A3FDEF}"/>
              </c:ext>
            </c:extLst>
          </c:dPt>
          <c:dPt>
            <c:idx val="2"/>
            <c:bubble3D val="0"/>
            <c:spPr>
              <a:solidFill>
                <a:schemeClr val="accent6">
                  <a:lumMod val="50000"/>
                </a:schemeClr>
              </a:solidFill>
            </c:spPr>
            <c:extLst>
              <c:ext xmlns:c16="http://schemas.microsoft.com/office/drawing/2014/chart" uri="{C3380CC4-5D6E-409C-BE32-E72D297353CC}">
                <c16:uniqueId val="{00000005-1D8B-4693-9E86-535783A3FDEF}"/>
              </c:ext>
            </c:extLst>
          </c:dPt>
          <c:dPt>
            <c:idx val="3"/>
            <c:bubble3D val="0"/>
            <c:spPr>
              <a:solidFill>
                <a:schemeClr val="accent6">
                  <a:lumMod val="75000"/>
                </a:schemeClr>
              </a:solidFill>
            </c:spPr>
            <c:extLst>
              <c:ext xmlns:c16="http://schemas.microsoft.com/office/drawing/2014/chart" uri="{C3380CC4-5D6E-409C-BE32-E72D297353CC}">
                <c16:uniqueId val="{00000007-1D8B-4693-9E86-535783A3FDEF}"/>
              </c:ext>
            </c:extLst>
          </c:dPt>
          <c:dPt>
            <c:idx val="4"/>
            <c:bubble3D val="0"/>
            <c:spPr>
              <a:solidFill>
                <a:schemeClr val="accent6">
                  <a:lumMod val="60000"/>
                  <a:lumOff val="40000"/>
                </a:schemeClr>
              </a:solidFill>
            </c:spPr>
            <c:extLst>
              <c:ext xmlns:c16="http://schemas.microsoft.com/office/drawing/2014/chart" uri="{C3380CC4-5D6E-409C-BE32-E72D297353CC}">
                <c16:uniqueId val="{00000009-1D8B-4693-9E86-535783A3FDEF}"/>
              </c:ext>
            </c:extLst>
          </c:dPt>
          <c:dPt>
            <c:idx val="5"/>
            <c:bubble3D val="0"/>
            <c:spPr>
              <a:solidFill>
                <a:schemeClr val="accent6">
                  <a:lumMod val="40000"/>
                  <a:lumOff val="60000"/>
                </a:schemeClr>
              </a:solidFill>
            </c:spPr>
            <c:extLst>
              <c:ext xmlns:c16="http://schemas.microsoft.com/office/drawing/2014/chart" uri="{C3380CC4-5D6E-409C-BE32-E72D297353CC}">
                <c16:uniqueId val="{0000000B-1D8B-4693-9E86-535783A3FDEF}"/>
              </c:ext>
            </c:extLst>
          </c:dPt>
          <c:dLbls>
            <c:dLbl>
              <c:idx val="0"/>
              <c:layout>
                <c:manualLayout>
                  <c:x val="-0.1067352969767668"/>
                  <c:y val="0.17510558042956167"/>
                </c:manualLayout>
              </c:layout>
              <c:tx>
                <c:rich>
                  <a:bodyPr wrap="square" lIns="38100" tIns="19050" rIns="38100" bIns="19050" anchor="ctr">
                    <a:spAutoFit/>
                  </a:bodyPr>
                  <a:lstStyle/>
                  <a:p>
                    <a:pPr>
                      <a:defRPr sz="1200" b="1" i="0" baseline="0">
                        <a:solidFill>
                          <a:schemeClr val="bg1"/>
                        </a:solidFill>
                        <a:latin typeface="Arial" panose="020B0604020202020204" pitchFamily="34" charset="0"/>
                        <a:cs typeface="Arial" panose="020B0604020202020204" pitchFamily="34" charset="0"/>
                      </a:defRPr>
                    </a:pPr>
                    <a:r>
                      <a:rPr lang="en-US" sz="1200" b="1" i="0" baseline="0">
                        <a:solidFill>
                          <a:schemeClr val="bg1"/>
                        </a:solidFill>
                      </a:rPr>
                      <a:t>Res. </a:t>
                    </a:r>
                  </a:p>
                  <a:p>
                    <a:pPr>
                      <a:defRPr sz="1200" b="1" i="0" baseline="0">
                        <a:solidFill>
                          <a:schemeClr val="bg1"/>
                        </a:solidFill>
                        <a:latin typeface="Arial" panose="020B0604020202020204" pitchFamily="34" charset="0"/>
                        <a:cs typeface="Arial" panose="020B0604020202020204" pitchFamily="34" charset="0"/>
                      </a:defRPr>
                    </a:pPr>
                    <a:r>
                      <a:rPr lang="en-US" sz="1200" b="1" i="0" baseline="0">
                        <a:solidFill>
                          <a:schemeClr val="bg1"/>
                        </a:solidFill>
                      </a:rPr>
                      <a:t>Income- Eligible,</a:t>
                    </a:r>
                  </a:p>
                  <a:p>
                    <a:pPr>
                      <a:defRPr sz="1200" b="1" i="0" baseline="0">
                        <a:solidFill>
                          <a:schemeClr val="bg1"/>
                        </a:solidFill>
                        <a:latin typeface="Arial" panose="020B0604020202020204" pitchFamily="34" charset="0"/>
                        <a:cs typeface="Arial" panose="020B0604020202020204" pitchFamily="34" charset="0"/>
                      </a:defRPr>
                    </a:pPr>
                    <a:r>
                      <a:rPr lang="en-US" sz="1200" b="1" i="0" baseline="0">
                        <a:solidFill>
                          <a:schemeClr val="bg1"/>
                        </a:solidFill>
                      </a:rPr>
                      <a:t> 12%</a:t>
                    </a:r>
                  </a:p>
                </c:rich>
              </c:tx>
              <c:numFmt formatCode="0.00%" sourceLinked="0"/>
              <c:spPr>
                <a:noFill/>
                <a:ln>
                  <a:noFill/>
                </a:ln>
                <a:effectLst/>
              </c:spPr>
              <c:dLblPos val="bestFit"/>
              <c:showLegendKey val="0"/>
              <c:showVal val="0"/>
              <c:showCatName val="1"/>
              <c:showSerName val="0"/>
              <c:showPercent val="1"/>
              <c:showBubbleSize val="0"/>
              <c:separator>, </c:separator>
              <c:extLst>
                <c:ext xmlns:c15="http://schemas.microsoft.com/office/drawing/2012/chart" uri="{CE6537A1-D6FC-4f65-9D91-7224C49458BB}">
                  <c15:showDataLabelsRange val="1"/>
                </c:ext>
                <c:ext xmlns:c16="http://schemas.microsoft.com/office/drawing/2014/chart" uri="{C3380CC4-5D6E-409C-BE32-E72D297353CC}">
                  <c16:uniqueId val="{00000001-1D8B-4693-9E86-535783A3FDEF}"/>
                </c:ext>
              </c:extLst>
            </c:dLbl>
            <c:dLbl>
              <c:idx val="1"/>
              <c:layout>
                <c:manualLayout>
                  <c:x val="-0.22003616214639837"/>
                  <c:y val="-9.0784674407929047E-2"/>
                </c:manualLayout>
              </c:layout>
              <c:tx>
                <c:rich>
                  <a:bodyPr/>
                  <a:lstStyle/>
                  <a:p>
                    <a:r>
                      <a:rPr lang="en-US"/>
                      <a:t>Res. Non Income- Eligible</a:t>
                    </a:r>
                    <a:r>
                      <a:rPr lang="en-US" baseline="0"/>
                      <a:t>,</a:t>
                    </a:r>
                  </a:p>
                  <a:p>
                    <a:r>
                      <a:rPr lang="en-US" baseline="0"/>
                      <a:t>35</a:t>
                    </a:r>
                    <a:r>
                      <a:rPr lang="en-US"/>
                      <a:t>%</a:t>
                    </a:r>
                  </a:p>
                </c:rich>
              </c:tx>
              <c:dLblPos val="bestFit"/>
              <c:showLegendKey val="0"/>
              <c:showVal val="0"/>
              <c:showCatName val="1"/>
              <c:showSerName val="0"/>
              <c:showPercent val="1"/>
              <c:showBubbleSize val="0"/>
              <c:separator>, </c:separator>
              <c:extLst>
                <c:ext xmlns:c15="http://schemas.microsoft.com/office/drawing/2012/chart" uri="{CE6537A1-D6FC-4f65-9D91-7224C49458BB}">
                  <c15:showDataLabelsRange val="1"/>
                </c:ext>
                <c:ext xmlns:c16="http://schemas.microsoft.com/office/drawing/2014/chart" uri="{C3380CC4-5D6E-409C-BE32-E72D297353CC}">
                  <c16:uniqueId val="{00000003-1D8B-4693-9E86-535783A3FDEF}"/>
                </c:ext>
              </c:extLst>
            </c:dLbl>
            <c:dLbl>
              <c:idx val="2"/>
              <c:layout>
                <c:manualLayout>
                  <c:x val="0.10786312822008355"/>
                  <c:y val="-9.4990245485054886E-2"/>
                </c:manualLayout>
              </c:layout>
              <c:tx>
                <c:rich>
                  <a:bodyPr/>
                  <a:lstStyle/>
                  <a:p>
                    <a:fld id="{D4F5B076-6444-48FD-BCB3-68E38ADC1B5A}" type="CATEGORYNAME">
                      <a:rPr lang="en-US"/>
                      <a:pPr/>
                      <a:t>[CATEGORY NAME]</a:t>
                    </a:fld>
                    <a:r>
                      <a:rPr lang="en-US" baseline="0"/>
                      <a:t>, </a:t>
                    </a:r>
                  </a:p>
                  <a:p>
                    <a:fld id="{C3C9716A-D860-4DB3-A6E1-5CEB2CD50913}" type="VALUE">
                      <a:rPr lang="en-US" baseline="0"/>
                      <a:pPr/>
                      <a:t>[VALUE]</a:t>
                    </a:fld>
                    <a:endParaRPr lang="en-US"/>
                  </a:p>
                </c:rich>
              </c:tx>
              <c:dLblPos val="bestFit"/>
              <c:showLegendKey val="0"/>
              <c:showVal val="0"/>
              <c:showCatName val="1"/>
              <c:showSerName val="0"/>
              <c:showPercent val="1"/>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5-1D8B-4693-9E86-535783A3FDEF}"/>
                </c:ext>
              </c:extLst>
            </c:dLbl>
            <c:dLbl>
              <c:idx val="3"/>
              <c:layout>
                <c:manualLayout>
                  <c:x val="0.17298279381743947"/>
                  <c:y val="-0.12626620259090202"/>
                </c:manualLayout>
              </c:layout>
              <c:tx>
                <c:rich>
                  <a:bodyPr/>
                  <a:lstStyle/>
                  <a:p>
                    <a:fld id="{37FC6185-2042-4343-A03E-ACFE0323DD82}" type="CATEGORYNAME">
                      <a:rPr lang="en-US"/>
                      <a:pPr/>
                      <a:t>[CATEGORY NAME]</a:t>
                    </a:fld>
                    <a:r>
                      <a:rPr lang="en-US" baseline="0"/>
                      <a:t>, </a:t>
                    </a:r>
                  </a:p>
                  <a:p>
                    <a:fld id="{0C964DF6-20EC-4C22-B30F-D93DECF30D99}" type="VALUE">
                      <a:rPr lang="en-US" baseline="0"/>
                      <a:pPr/>
                      <a:t>[VALUE]</a:t>
                    </a:fld>
                    <a:endParaRPr lang="en-US"/>
                  </a:p>
                </c:rich>
              </c:tx>
              <c:dLblPos val="bestFit"/>
              <c:showLegendKey val="0"/>
              <c:showVal val="0"/>
              <c:showCatName val="1"/>
              <c:showSerName val="0"/>
              <c:showPercent val="1"/>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7-1D8B-4693-9E86-535783A3FDEF}"/>
                </c:ext>
              </c:extLst>
            </c:dLbl>
            <c:dLbl>
              <c:idx val="4"/>
              <c:layout>
                <c:manualLayout>
                  <c:x val="0.16723340138038301"/>
                  <c:y val="5.9997766507238308E-2"/>
                </c:manualLayout>
              </c:layout>
              <c:tx>
                <c:rich>
                  <a:bodyPr wrap="square" lIns="38100" tIns="19050" rIns="38100" bIns="19050" anchor="ctr">
                    <a:spAutoFit/>
                  </a:bodyPr>
                  <a:lstStyle/>
                  <a:p>
                    <a:pPr>
                      <a:defRPr sz="1200" b="1" baseline="0">
                        <a:solidFill>
                          <a:sysClr val="windowText" lastClr="000000"/>
                        </a:solidFill>
                        <a:latin typeface="Arial" panose="020B0604020202020204" pitchFamily="34" charset="0"/>
                        <a:cs typeface="Arial" panose="020B0604020202020204" pitchFamily="34" charset="0"/>
                      </a:defRPr>
                    </a:pPr>
                    <a:fld id="{79A6B0FE-3C63-4CC0-ABBF-1188E8DE4BF9}" type="CATEGORYNAME">
                      <a:rPr lang="en-US"/>
                      <a:pPr>
                        <a:defRPr sz="1200" b="1" baseline="0">
                          <a:solidFill>
                            <a:sysClr val="windowText" lastClr="000000"/>
                          </a:solidFill>
                          <a:latin typeface="Arial" panose="020B0604020202020204" pitchFamily="34" charset="0"/>
                          <a:cs typeface="Arial" panose="020B0604020202020204" pitchFamily="34" charset="0"/>
                        </a:defRPr>
                      </a:pPr>
                      <a:t>[CATEGORY NAME]</a:t>
                    </a:fld>
                    <a:r>
                      <a:rPr lang="en-US" baseline="0"/>
                      <a:t>, </a:t>
                    </a:r>
                  </a:p>
                  <a:p>
                    <a:pPr>
                      <a:defRPr sz="1200" b="1" baseline="0">
                        <a:solidFill>
                          <a:sysClr val="windowText" lastClr="000000"/>
                        </a:solidFill>
                        <a:latin typeface="Arial" panose="020B0604020202020204" pitchFamily="34" charset="0"/>
                        <a:cs typeface="Arial" panose="020B0604020202020204" pitchFamily="34" charset="0"/>
                      </a:defRPr>
                    </a:pPr>
                    <a:fld id="{BB206FF9-64CA-4A1B-818B-0BC5DAEF1507}" type="VALUE">
                      <a:rPr lang="en-US" baseline="0"/>
                      <a:pPr>
                        <a:defRPr sz="1200" b="1" baseline="0">
                          <a:solidFill>
                            <a:sysClr val="windowText" lastClr="000000"/>
                          </a:solidFill>
                          <a:latin typeface="Arial" panose="020B0604020202020204" pitchFamily="34" charset="0"/>
                          <a:cs typeface="Arial" panose="020B0604020202020204" pitchFamily="34" charset="0"/>
                        </a:defRPr>
                      </a:pPr>
                      <a:t>[VALUE]</a:t>
                    </a:fld>
                    <a:endParaRPr lang="en-US"/>
                  </a:p>
                </c:rich>
              </c:tx>
              <c:numFmt formatCode="0.00%" sourceLinked="0"/>
              <c:spPr>
                <a:noFill/>
                <a:ln>
                  <a:noFill/>
                </a:ln>
                <a:effectLst/>
              </c:spPr>
              <c:dLblPos val="bestFit"/>
              <c:showLegendKey val="0"/>
              <c:showVal val="0"/>
              <c:showCatName val="1"/>
              <c:showSerName val="0"/>
              <c:showPercent val="1"/>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9-1D8B-4693-9E86-535783A3FDEF}"/>
                </c:ext>
              </c:extLst>
            </c:dLbl>
            <c:dLbl>
              <c:idx val="5"/>
              <c:layout>
                <c:manualLayout>
                  <c:x val="9.2459609215514729E-2"/>
                  <c:y val="0.18151641049983605"/>
                </c:manualLayout>
              </c:layout>
              <c:tx>
                <c:rich>
                  <a:bodyPr wrap="square" lIns="38100" tIns="19050" rIns="38100" bIns="19050" anchor="ctr">
                    <a:spAutoFit/>
                  </a:bodyPr>
                  <a:lstStyle/>
                  <a:p>
                    <a:pPr>
                      <a:defRPr sz="1200" b="1" baseline="0">
                        <a:solidFill>
                          <a:sysClr val="windowText" lastClr="000000"/>
                        </a:solidFill>
                        <a:latin typeface="Arial" panose="020B0604020202020204" pitchFamily="34" charset="0"/>
                        <a:cs typeface="Arial" panose="020B0604020202020204" pitchFamily="34" charset="0"/>
                      </a:defRPr>
                    </a:pPr>
                    <a:fld id="{B6DC7968-11D7-416B-B104-8848FBF9CE08}" type="CATEGORYNAME">
                      <a:rPr lang="en-US"/>
                      <a:pPr>
                        <a:defRPr sz="1200" b="1" baseline="0">
                          <a:solidFill>
                            <a:sysClr val="windowText" lastClr="000000"/>
                          </a:solidFill>
                          <a:latin typeface="Arial" panose="020B0604020202020204" pitchFamily="34" charset="0"/>
                          <a:cs typeface="Arial" panose="020B0604020202020204" pitchFamily="34" charset="0"/>
                        </a:defRPr>
                      </a:pPr>
                      <a:t>[CATEGORY NAME]</a:t>
                    </a:fld>
                    <a:r>
                      <a:rPr lang="en-US" baseline="0"/>
                      <a:t>, </a:t>
                    </a:r>
                  </a:p>
                  <a:p>
                    <a:pPr>
                      <a:defRPr sz="1200" b="1" baseline="0">
                        <a:solidFill>
                          <a:sysClr val="windowText" lastClr="000000"/>
                        </a:solidFill>
                        <a:latin typeface="Arial" panose="020B0604020202020204" pitchFamily="34" charset="0"/>
                        <a:cs typeface="Arial" panose="020B0604020202020204" pitchFamily="34" charset="0"/>
                      </a:defRPr>
                    </a:pPr>
                    <a:fld id="{ABCB5A93-077A-4C74-97C2-822F567BD744}" type="VALUE">
                      <a:rPr lang="en-US" baseline="0"/>
                      <a:pPr>
                        <a:defRPr sz="1200" b="1" baseline="0">
                          <a:solidFill>
                            <a:sysClr val="windowText" lastClr="000000"/>
                          </a:solidFill>
                          <a:latin typeface="Arial" panose="020B0604020202020204" pitchFamily="34" charset="0"/>
                          <a:cs typeface="Arial" panose="020B0604020202020204" pitchFamily="34" charset="0"/>
                        </a:defRPr>
                      </a:pPr>
                      <a:t>[VALUE]</a:t>
                    </a:fld>
                    <a:endParaRPr lang="en-US"/>
                  </a:p>
                </c:rich>
              </c:tx>
              <c:numFmt formatCode="0.00%" sourceLinked="0"/>
              <c:spPr>
                <a:noFill/>
                <a:ln>
                  <a:noFill/>
                </a:ln>
                <a:effectLst/>
              </c:spPr>
              <c:dLblPos val="bestFit"/>
              <c:showLegendKey val="0"/>
              <c:showVal val="0"/>
              <c:showCatName val="1"/>
              <c:showSerName val="0"/>
              <c:showPercent val="1"/>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B-1D8B-4693-9E86-535783A3FDEF}"/>
                </c:ext>
              </c:extLst>
            </c:dLbl>
            <c:numFmt formatCode="0.00%" sourceLinked="0"/>
            <c:spPr>
              <a:noFill/>
              <a:ln>
                <a:noFill/>
              </a:ln>
              <a:effectLst/>
            </c:spPr>
            <c:txPr>
              <a:bodyPr wrap="square" lIns="38100" tIns="19050" rIns="38100" bIns="19050" anchor="ctr">
                <a:spAutoFit/>
              </a:bodyPr>
              <a:lstStyle/>
              <a:p>
                <a:pPr>
                  <a:defRPr sz="1200" b="1" baseline="0">
                    <a:solidFill>
                      <a:schemeClr val="bg1"/>
                    </a:solidFill>
                    <a:latin typeface="Arial" panose="020B0604020202020204" pitchFamily="34" charset="0"/>
                    <a:cs typeface="Arial" panose="020B0604020202020204" pitchFamily="34" charset="0"/>
                  </a:defRPr>
                </a:pPr>
                <a:endParaRPr lang="en-US"/>
              </a:p>
            </c:txPr>
            <c:dLblPos val="inEnd"/>
            <c:showLegendKey val="0"/>
            <c:showVal val="0"/>
            <c:showCatName val="1"/>
            <c:showSerName val="0"/>
            <c:showPercent val="1"/>
            <c:showBubbleSize val="0"/>
            <c:separator>, </c:separator>
            <c:showLeaderLines val="1"/>
            <c:extLst>
              <c:ext xmlns:c15="http://schemas.microsoft.com/office/drawing/2012/chart" uri="{CE6537A1-D6FC-4f65-9D91-7224C49458BB}">
                <c15:showDataLabelsRange val="1"/>
              </c:ext>
            </c:extLst>
          </c:dLbls>
          <c:cat>
            <c:strRef>
              <c:f>('[14]2022 Joint Table A1 Pies -Gas'!$B$30:$B$31,'[14]2022 Joint Table A1 Pies -Gas'!$B$35:$B$38)</c:f>
              <c:strCache>
                <c:ptCount val="6"/>
                <c:pt idx="0">
                  <c:v>Res. Income-Eligible</c:v>
                </c:pt>
                <c:pt idx="1">
                  <c:v>Res. Non Income-Eligible</c:v>
                </c:pt>
                <c:pt idx="2">
                  <c:v>C&amp;I Q1</c:v>
                </c:pt>
                <c:pt idx="3">
                  <c:v>C&amp;I Q2</c:v>
                </c:pt>
                <c:pt idx="4">
                  <c:v>C&amp;I Q3</c:v>
                </c:pt>
                <c:pt idx="5">
                  <c:v>C&amp;I Q4</c:v>
                </c:pt>
              </c:strCache>
            </c:strRef>
          </c:cat>
          <c:val>
            <c:numRef>
              <c:f>('[14]2022 Joint Table A1 Pies -Gas'!$G$30:$G$31,'[14]2022 Joint Table A1 Pies -Gas'!$G$35:$G$38)</c:f>
              <c:numCache>
                <c:formatCode>General</c:formatCode>
                <c:ptCount val="6"/>
                <c:pt idx="0">
                  <c:v>0.12348029999999999</c:v>
                </c:pt>
                <c:pt idx="1">
                  <c:v>0.35332329000000001</c:v>
                </c:pt>
                <c:pt idx="2">
                  <c:v>0.13079910249999999</c:v>
                </c:pt>
                <c:pt idx="3">
                  <c:v>0.13079910249999999</c:v>
                </c:pt>
                <c:pt idx="4">
                  <c:v>0.13079910249999999</c:v>
                </c:pt>
                <c:pt idx="5">
                  <c:v>0.13079910249999999</c:v>
                </c:pt>
              </c:numCache>
            </c:numRef>
          </c:val>
          <c:extLst>
            <c:ext xmlns:c15="http://schemas.microsoft.com/office/drawing/2012/chart" uri="{02D57815-91ED-43cb-92C2-25804820EDAC}">
              <c15:datalabelsRange>
                <c15:f>'[14]2022 Joint Table A1 Pies -Gas'!$G$30</c15:f>
                <c15:dlblRangeCache>
                  <c:ptCount val="1"/>
                  <c:pt idx="0">
                    <c:v>0.1234803</c:v>
                  </c:pt>
                </c15:dlblRangeCache>
              </c15:datalabelsRange>
            </c:ext>
            <c:ext xmlns:c16="http://schemas.microsoft.com/office/drawing/2014/chart" uri="{C3380CC4-5D6E-409C-BE32-E72D297353CC}">
              <c16:uniqueId val="{0000000C-1D8B-4693-9E86-535783A3FDEF}"/>
            </c:ext>
          </c:extLst>
        </c:ser>
        <c:dLbls>
          <c:showLegendKey val="0"/>
          <c:showVal val="0"/>
          <c:showCatName val="0"/>
          <c:showSerName val="0"/>
          <c:showPercent val="1"/>
          <c:showBubbleSize val="0"/>
          <c:showLeaderLines val="1"/>
        </c:dLbls>
        <c:firstSliceAng val="0"/>
      </c:pieChart>
    </c:plotArea>
    <c:plotVisOnly val="1"/>
    <c:dispBlanksAs val="gap"/>
    <c:showDLblsOverMax val="0"/>
  </c:chart>
  <c:spPr>
    <a:ln>
      <a:no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Budget by Customer Class </a:t>
            </a:r>
          </a:p>
        </c:rich>
      </c:tx>
      <c:layout>
        <c:manualLayout>
          <c:xMode val="edge"/>
          <c:yMode val="edge"/>
          <c:x val="0.2437536860858141"/>
          <c:y val="2.2576352959057695E-2"/>
        </c:manualLayout>
      </c:layout>
      <c:overlay val="0"/>
    </c:title>
    <c:autoTitleDeleted val="0"/>
    <c:plotArea>
      <c:layout/>
      <c:pieChart>
        <c:varyColors val="1"/>
        <c:ser>
          <c:idx val="0"/>
          <c:order val="0"/>
          <c:dLbls>
            <c:dLbl>
              <c:idx val="0"/>
              <c:layout>
                <c:manualLayout>
                  <c:x val="0.10165323060363142"/>
                  <c:y val="6.3284617381071176E-2"/>
                </c:manualLayout>
              </c:layout>
              <c:tx>
                <c:rich>
                  <a:bodyPr wrap="square" lIns="38100" tIns="19050" rIns="38100" bIns="19050" anchor="ctr">
                    <a:spAutoFit/>
                  </a:bodyPr>
                  <a:lstStyle/>
                  <a:p>
                    <a:pPr>
                      <a:defRPr sz="1200" b="0" i="0" baseline="0">
                        <a:latin typeface="Arial" panose="020B0604020202020204" pitchFamily="34" charset="0"/>
                        <a:cs typeface="Arial" panose="020B0604020202020204" pitchFamily="34" charset="0"/>
                      </a:defRPr>
                    </a:pPr>
                    <a:r>
                      <a:rPr lang="en-US" sz="1200" b="0" i="0" baseline="0"/>
                      <a:t>Res. Income- Eligible</a:t>
                    </a:r>
                  </a:p>
                  <a:p>
                    <a:pPr>
                      <a:defRPr sz="1200" b="0" i="0" baseline="0">
                        <a:latin typeface="Arial" panose="020B0604020202020204" pitchFamily="34" charset="0"/>
                        <a:cs typeface="Arial" panose="020B0604020202020204" pitchFamily="34" charset="0"/>
                      </a:defRPr>
                    </a:pPr>
                    <a:r>
                      <a:rPr lang="en-US" sz="1200" b="0" i="0" baseline="0"/>
                      <a:t> 24.02%</a:t>
                    </a:r>
                  </a:p>
                </c:rich>
              </c:tx>
              <c:numFmt formatCode="0.00%" sourceLinked="0"/>
              <c:spPr>
                <a:noFill/>
                <a:ln>
                  <a:noFill/>
                </a:ln>
                <a:effectLst/>
              </c:spPr>
              <c:dLblPos val="bestFit"/>
              <c:showLegendKey val="0"/>
              <c:showVal val="0"/>
              <c:showCatName val="1"/>
              <c:showSerName val="0"/>
              <c:showPercent val="1"/>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00-3E0D-4673-949A-FF7F17D7A39A}"/>
                </c:ext>
              </c:extLst>
            </c:dLbl>
            <c:dLbl>
              <c:idx val="1"/>
              <c:layout>
                <c:manualLayout>
                  <c:x val="0.1215218602683673"/>
                  <c:y val="-7.1084402673253652E-2"/>
                </c:manualLayout>
              </c:layout>
              <c:tx>
                <c:rich>
                  <a:bodyPr/>
                  <a:lstStyle/>
                  <a:p>
                    <a:r>
                      <a:rPr lang="en-US"/>
                      <a:t>Res. Non Income- Eligible</a:t>
                    </a:r>
                    <a:r>
                      <a:rPr lang="en-US" baseline="0"/>
                      <a:t> 39.16</a:t>
                    </a:r>
                    <a:r>
                      <a:rPr lang="en-US"/>
                      <a:t>%</a:t>
                    </a:r>
                  </a:p>
                </c:rich>
              </c:tx>
              <c:dLblPos val="bestFit"/>
              <c:showLegendKey val="0"/>
              <c:showVal val="0"/>
              <c:showCatName val="1"/>
              <c:showSerName val="0"/>
              <c:showPercent val="1"/>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01-3E0D-4673-949A-FF7F17D7A39A}"/>
                </c:ext>
              </c:extLst>
            </c:dLbl>
            <c:dLbl>
              <c:idx val="2"/>
              <c:layout>
                <c:manualLayout>
                  <c:x val="-4.7619047619047616E-2"/>
                  <c:y val="-0.12192723697148476"/>
                </c:manualLayout>
              </c:layout>
              <c:tx>
                <c:rich>
                  <a:bodyPr/>
                  <a:lstStyle/>
                  <a:p>
                    <a:r>
                      <a:rPr lang="en-US"/>
                      <a:t>Commercial and Industrial 36.82%</a:t>
                    </a:r>
                  </a:p>
                </c:rich>
              </c:tx>
              <c:dLblPos val="bestFit"/>
              <c:showLegendKey val="0"/>
              <c:showVal val="0"/>
              <c:showCatName val="1"/>
              <c:showSerName val="0"/>
              <c:showPercent val="1"/>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02-3E0D-4673-949A-FF7F17D7A39A}"/>
                </c:ext>
              </c:extLst>
            </c:dLbl>
            <c:numFmt formatCode="0.00%" sourceLinked="0"/>
            <c:spPr>
              <a:noFill/>
              <a:ln>
                <a:noFill/>
              </a:ln>
              <a:effectLst/>
            </c:spPr>
            <c:txPr>
              <a:bodyPr wrap="square" lIns="38100" tIns="19050" rIns="38100" bIns="19050" anchor="ctr">
                <a:spAutoFit/>
              </a:bodyPr>
              <a:lstStyle/>
              <a:p>
                <a:pPr>
                  <a:defRPr sz="1200" b="0" baseline="0">
                    <a:latin typeface="Arial" panose="020B0604020202020204" pitchFamily="34" charset="0"/>
                    <a:cs typeface="Arial" panose="020B0604020202020204" pitchFamily="34" charset="0"/>
                  </a:defRPr>
                </a:pPr>
                <a:endParaRPr lang="en-US"/>
              </a:p>
            </c:txPr>
            <c:dLblPos val="outEnd"/>
            <c:showLegendKey val="0"/>
            <c:showVal val="0"/>
            <c:showCatName val="1"/>
            <c:showSerName val="0"/>
            <c:showPercent val="1"/>
            <c:showBubbleSize val="0"/>
            <c:separator>, </c:separator>
            <c:showLeaderLines val="1"/>
            <c:extLst>
              <c:ext xmlns:c15="http://schemas.microsoft.com/office/drawing/2012/chart" uri="{CE6537A1-D6FC-4f65-9D91-7224C49458BB}"/>
            </c:extLst>
          </c:dLbls>
          <c:cat>
            <c:strRef>
              <c:f>('2023 Joint Table A1 Pies'!$B$30:$B$31,'2023 Joint Table A1 Pies'!$B$34)</c:f>
              <c:strCache>
                <c:ptCount val="3"/>
                <c:pt idx="0">
                  <c:v>Res. Income-Eligible</c:v>
                </c:pt>
                <c:pt idx="1">
                  <c:v>Res. Non Income-Eligible</c:v>
                </c:pt>
                <c:pt idx="2">
                  <c:v>Commercial and Industrial</c:v>
                </c:pt>
              </c:strCache>
            </c:strRef>
          </c:cat>
          <c:val>
            <c:numRef>
              <c:f>('2023 Joint Table A1 Pies'!$F$30:$F$31,'2023 Joint Table A1 Pies'!$F$34)</c:f>
              <c:numCache>
                <c:formatCode>0.00%</c:formatCode>
                <c:ptCount val="3"/>
                <c:pt idx="0">
                  <c:v>0.18231451198981588</c:v>
                </c:pt>
                <c:pt idx="1">
                  <c:v>0.45078541826084284</c:v>
                </c:pt>
                <c:pt idx="2">
                  <c:v>0.36690006974934125</c:v>
                </c:pt>
              </c:numCache>
            </c:numRef>
          </c:val>
          <c:extLst>
            <c:ext xmlns:c16="http://schemas.microsoft.com/office/drawing/2014/chart" uri="{C3380CC4-5D6E-409C-BE32-E72D297353CC}">
              <c16:uniqueId val="{00000003-3E0D-4673-949A-FF7F17D7A39A}"/>
            </c:ext>
          </c:extLst>
        </c:ser>
        <c:dLbls>
          <c:showLegendKey val="0"/>
          <c:showVal val="0"/>
          <c:showCatName val="0"/>
          <c:showSerName val="0"/>
          <c:showPercent val="1"/>
          <c:showBubbleSize val="0"/>
          <c:showLeaderLines val="1"/>
        </c:dLbls>
        <c:firstSliceAng val="0"/>
      </c:pieChart>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image" Target="../media/image1.png"/><Relationship Id="rId4" Type="http://schemas.openxmlformats.org/officeDocument/2006/relationships/chart" Target="../charts/chart8.xml"/></Relationships>
</file>

<file path=xl/drawings/_rels/drawing5.xml.rels><?xml version="1.0" encoding="UTF-8" standalone="yes"?>
<Relationships xmlns="http://schemas.openxmlformats.org/package/2006/relationships"><Relationship Id="rId1" Type="http://schemas.openxmlformats.org/officeDocument/2006/relationships/chart" Target="../charts/chart9.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4" Type="http://schemas.openxmlformats.org/officeDocument/2006/relationships/chart" Target="../charts/chart1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8.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chart" Target="../charts/chart15.xml"/><Relationship Id="rId4" Type="http://schemas.openxmlformats.org/officeDocument/2006/relationships/chart" Target="../charts/chart1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9.xml"/></Relationships>
</file>

<file path=xl/drawings/drawing1.xml><?xml version="1.0" encoding="utf-8"?>
<xdr:wsDr xmlns:xdr="http://schemas.openxmlformats.org/drawingml/2006/spreadsheetDrawing" xmlns:a="http://schemas.openxmlformats.org/drawingml/2006/main">
  <xdr:twoCellAnchor>
    <xdr:from>
      <xdr:col>1</xdr:col>
      <xdr:colOff>665443</xdr:colOff>
      <xdr:row>4</xdr:row>
      <xdr:rowOff>152336</xdr:rowOff>
    </xdr:from>
    <xdr:to>
      <xdr:col>5</xdr:col>
      <xdr:colOff>607172</xdr:colOff>
      <xdr:row>26</xdr:row>
      <xdr:rowOff>76138</xdr:rowOff>
    </xdr:to>
    <xdr:graphicFrame macro="">
      <xdr:nvGraphicFramePr>
        <xdr:cNvPr id="2" name="Chart 1">
          <a:extLst>
            <a:ext uri="{FF2B5EF4-FFF2-40B4-BE49-F238E27FC236}">
              <a16:creationId xmlns:a16="http://schemas.microsoft.com/office/drawing/2014/main" id="{5DB7DE11-2C22-4B0B-89AD-0E0AE455C6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xdr:col>
      <xdr:colOff>676649</xdr:colOff>
      <xdr:row>3</xdr:row>
      <xdr:rowOff>40278</xdr:rowOff>
    </xdr:from>
    <xdr:to>
      <xdr:col>5</xdr:col>
      <xdr:colOff>618378</xdr:colOff>
      <xdr:row>24</xdr:row>
      <xdr:rowOff>120961</xdr:rowOff>
    </xdr:to>
    <xdr:graphicFrame macro="">
      <xdr:nvGraphicFramePr>
        <xdr:cNvPr id="2" name="Chart 1">
          <a:extLst>
            <a:ext uri="{FF2B5EF4-FFF2-40B4-BE49-F238E27FC236}">
              <a16:creationId xmlns:a16="http://schemas.microsoft.com/office/drawing/2014/main" id="{1633A2F9-680E-43B5-A121-02C1FF4089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676649</xdr:colOff>
      <xdr:row>3</xdr:row>
      <xdr:rowOff>40278</xdr:rowOff>
    </xdr:from>
    <xdr:to>
      <xdr:col>5</xdr:col>
      <xdr:colOff>618378</xdr:colOff>
      <xdr:row>24</xdr:row>
      <xdr:rowOff>120961</xdr:rowOff>
    </xdr:to>
    <xdr:graphicFrame macro="">
      <xdr:nvGraphicFramePr>
        <xdr:cNvPr id="2" name="Chart 1">
          <a:extLst>
            <a:ext uri="{FF2B5EF4-FFF2-40B4-BE49-F238E27FC236}">
              <a16:creationId xmlns:a16="http://schemas.microsoft.com/office/drawing/2014/main" id="{53849B9A-C620-4AD2-A00B-DF9822527D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xdr:col>
      <xdr:colOff>676649</xdr:colOff>
      <xdr:row>3</xdr:row>
      <xdr:rowOff>40278</xdr:rowOff>
    </xdr:from>
    <xdr:to>
      <xdr:col>5</xdr:col>
      <xdr:colOff>618378</xdr:colOff>
      <xdr:row>24</xdr:row>
      <xdr:rowOff>120961</xdr:rowOff>
    </xdr:to>
    <xdr:graphicFrame macro="">
      <xdr:nvGraphicFramePr>
        <xdr:cNvPr id="2" name="Chart 1">
          <a:extLst>
            <a:ext uri="{FF2B5EF4-FFF2-40B4-BE49-F238E27FC236}">
              <a16:creationId xmlns:a16="http://schemas.microsoft.com/office/drawing/2014/main" id="{3BF4927E-1DE9-428A-927F-161A96D92A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xdr:col>
      <xdr:colOff>636494</xdr:colOff>
      <xdr:row>5</xdr:row>
      <xdr:rowOff>10646</xdr:rowOff>
    </xdr:from>
    <xdr:to>
      <xdr:col>5</xdr:col>
      <xdr:colOff>1084169</xdr:colOff>
      <xdr:row>28</xdr:row>
      <xdr:rowOff>96371</xdr:rowOff>
    </xdr:to>
    <xdr:graphicFrame macro="">
      <xdr:nvGraphicFramePr>
        <xdr:cNvPr id="2" name="Chart 1">
          <a:extLst>
            <a:ext uri="{FF2B5EF4-FFF2-40B4-BE49-F238E27FC236}">
              <a16:creationId xmlns:a16="http://schemas.microsoft.com/office/drawing/2014/main" id="{24EAB596-183C-4A70-944C-1DE5AB7ECE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xdr:col>
      <xdr:colOff>636494</xdr:colOff>
      <xdr:row>5</xdr:row>
      <xdr:rowOff>10646</xdr:rowOff>
    </xdr:from>
    <xdr:to>
      <xdr:col>5</xdr:col>
      <xdr:colOff>1084169</xdr:colOff>
      <xdr:row>28</xdr:row>
      <xdr:rowOff>96371</xdr:rowOff>
    </xdr:to>
    <xdr:graphicFrame macro="">
      <xdr:nvGraphicFramePr>
        <xdr:cNvPr id="2" name="Chart 1">
          <a:extLst>
            <a:ext uri="{FF2B5EF4-FFF2-40B4-BE49-F238E27FC236}">
              <a16:creationId xmlns:a16="http://schemas.microsoft.com/office/drawing/2014/main" id="{AC7BAE2F-A69D-4493-9D04-C27B5180D4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xdr:col>
      <xdr:colOff>636494</xdr:colOff>
      <xdr:row>5</xdr:row>
      <xdr:rowOff>10646</xdr:rowOff>
    </xdr:from>
    <xdr:to>
      <xdr:col>5</xdr:col>
      <xdr:colOff>1084169</xdr:colOff>
      <xdr:row>28</xdr:row>
      <xdr:rowOff>96371</xdr:rowOff>
    </xdr:to>
    <xdr:graphicFrame macro="">
      <xdr:nvGraphicFramePr>
        <xdr:cNvPr id="2" name="Chart 1">
          <a:extLst>
            <a:ext uri="{FF2B5EF4-FFF2-40B4-BE49-F238E27FC236}">
              <a16:creationId xmlns:a16="http://schemas.microsoft.com/office/drawing/2014/main" id="{3FA11E5C-43D2-424D-8377-B96C4BD30F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xdr:col>
      <xdr:colOff>636494</xdr:colOff>
      <xdr:row>5</xdr:row>
      <xdr:rowOff>10646</xdr:rowOff>
    </xdr:from>
    <xdr:to>
      <xdr:col>5</xdr:col>
      <xdr:colOff>1084169</xdr:colOff>
      <xdr:row>28</xdr:row>
      <xdr:rowOff>96371</xdr:rowOff>
    </xdr:to>
    <xdr:graphicFrame macro="">
      <xdr:nvGraphicFramePr>
        <xdr:cNvPr id="2" name="Chart 1">
          <a:extLst>
            <a:ext uri="{FF2B5EF4-FFF2-40B4-BE49-F238E27FC236}">
              <a16:creationId xmlns:a16="http://schemas.microsoft.com/office/drawing/2014/main" id="{20551A88-9604-4131-BAA5-938C964A11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4</xdr:col>
      <xdr:colOff>596900</xdr:colOff>
      <xdr:row>4</xdr:row>
      <xdr:rowOff>250826</xdr:rowOff>
    </xdr:from>
    <xdr:to>
      <xdr:col>11</xdr:col>
      <xdr:colOff>246062</xdr:colOff>
      <xdr:row>19</xdr:row>
      <xdr:rowOff>51594</xdr:rowOff>
    </xdr:to>
    <xdr:graphicFrame macro="">
      <xdr:nvGraphicFramePr>
        <xdr:cNvPr id="2" name="Chart 27">
          <a:extLst>
            <a:ext uri="{FF2B5EF4-FFF2-40B4-BE49-F238E27FC236}">
              <a16:creationId xmlns:a16="http://schemas.microsoft.com/office/drawing/2014/main" id="{21A4024B-6F87-4C66-A7DE-C424E67A16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4</xdr:col>
      <xdr:colOff>596900</xdr:colOff>
      <xdr:row>4</xdr:row>
      <xdr:rowOff>250826</xdr:rowOff>
    </xdr:from>
    <xdr:to>
      <xdr:col>11</xdr:col>
      <xdr:colOff>246062</xdr:colOff>
      <xdr:row>19</xdr:row>
      <xdr:rowOff>51594</xdr:rowOff>
    </xdr:to>
    <xdr:graphicFrame macro="">
      <xdr:nvGraphicFramePr>
        <xdr:cNvPr id="2" name="Chart 27">
          <a:extLst>
            <a:ext uri="{FF2B5EF4-FFF2-40B4-BE49-F238E27FC236}">
              <a16:creationId xmlns:a16="http://schemas.microsoft.com/office/drawing/2014/main" id="{66CB5EB0-85DD-43C6-8A19-A7A0A4E12B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4</xdr:col>
      <xdr:colOff>596900</xdr:colOff>
      <xdr:row>4</xdr:row>
      <xdr:rowOff>250826</xdr:rowOff>
    </xdr:from>
    <xdr:to>
      <xdr:col>11</xdr:col>
      <xdr:colOff>246062</xdr:colOff>
      <xdr:row>19</xdr:row>
      <xdr:rowOff>51594</xdr:rowOff>
    </xdr:to>
    <xdr:graphicFrame macro="">
      <xdr:nvGraphicFramePr>
        <xdr:cNvPr id="2" name="Chart 27">
          <a:extLst>
            <a:ext uri="{FF2B5EF4-FFF2-40B4-BE49-F238E27FC236}">
              <a16:creationId xmlns:a16="http://schemas.microsoft.com/office/drawing/2014/main" id="{EDF6EFD8-9AC8-4AC2-B900-8088DDE9FB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665443</xdr:colOff>
      <xdr:row>4</xdr:row>
      <xdr:rowOff>152336</xdr:rowOff>
    </xdr:from>
    <xdr:to>
      <xdr:col>5</xdr:col>
      <xdr:colOff>607172</xdr:colOff>
      <xdr:row>26</xdr:row>
      <xdr:rowOff>76138</xdr:rowOff>
    </xdr:to>
    <xdr:graphicFrame macro="">
      <xdr:nvGraphicFramePr>
        <xdr:cNvPr id="2" name="Chart 1">
          <a:extLst>
            <a:ext uri="{FF2B5EF4-FFF2-40B4-BE49-F238E27FC236}">
              <a16:creationId xmlns:a16="http://schemas.microsoft.com/office/drawing/2014/main" id="{C10496C3-21E8-4DB9-B5F4-C622FCA025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4</xdr:col>
      <xdr:colOff>596900</xdr:colOff>
      <xdr:row>4</xdr:row>
      <xdr:rowOff>250826</xdr:rowOff>
    </xdr:from>
    <xdr:to>
      <xdr:col>11</xdr:col>
      <xdr:colOff>246062</xdr:colOff>
      <xdr:row>19</xdr:row>
      <xdr:rowOff>51594</xdr:rowOff>
    </xdr:to>
    <xdr:graphicFrame macro="">
      <xdr:nvGraphicFramePr>
        <xdr:cNvPr id="2" name="Chart 27">
          <a:extLst>
            <a:ext uri="{FF2B5EF4-FFF2-40B4-BE49-F238E27FC236}">
              <a16:creationId xmlns:a16="http://schemas.microsoft.com/office/drawing/2014/main" id="{10B30CE3-EDCF-4EBA-B3BC-E89CBE01ED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665443</xdr:colOff>
      <xdr:row>4</xdr:row>
      <xdr:rowOff>152336</xdr:rowOff>
    </xdr:from>
    <xdr:to>
      <xdr:col>5</xdr:col>
      <xdr:colOff>607172</xdr:colOff>
      <xdr:row>26</xdr:row>
      <xdr:rowOff>76138</xdr:rowOff>
    </xdr:to>
    <xdr:graphicFrame macro="">
      <xdr:nvGraphicFramePr>
        <xdr:cNvPr id="2" name="Chart 1">
          <a:extLst>
            <a:ext uri="{FF2B5EF4-FFF2-40B4-BE49-F238E27FC236}">
              <a16:creationId xmlns:a16="http://schemas.microsoft.com/office/drawing/2014/main" id="{687AE1A7-5F08-4735-B396-E5B8207147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5</xdr:row>
      <xdr:rowOff>0</xdr:rowOff>
    </xdr:from>
    <xdr:to>
      <xdr:col>12</xdr:col>
      <xdr:colOff>53787</xdr:colOff>
      <xdr:row>26</xdr:row>
      <xdr:rowOff>80684</xdr:rowOff>
    </xdr:to>
    <xdr:graphicFrame macro="">
      <xdr:nvGraphicFramePr>
        <xdr:cNvPr id="3" name="Chart 2">
          <a:extLst>
            <a:ext uri="{FF2B5EF4-FFF2-40B4-BE49-F238E27FC236}">
              <a16:creationId xmlns:a16="http://schemas.microsoft.com/office/drawing/2014/main" id="{416D23D0-75E7-4AD7-ADF9-12427E9612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665443</xdr:colOff>
      <xdr:row>4</xdr:row>
      <xdr:rowOff>152336</xdr:rowOff>
    </xdr:from>
    <xdr:to>
      <xdr:col>5</xdr:col>
      <xdr:colOff>607172</xdr:colOff>
      <xdr:row>26</xdr:row>
      <xdr:rowOff>76138</xdr:rowOff>
    </xdr:to>
    <xdr:graphicFrame macro="">
      <xdr:nvGraphicFramePr>
        <xdr:cNvPr id="6" name="Chart 5">
          <a:extLst>
            <a:ext uri="{FF2B5EF4-FFF2-40B4-BE49-F238E27FC236}">
              <a16:creationId xmlns:a16="http://schemas.microsoft.com/office/drawing/2014/main" id="{DAE22126-3631-45E5-B05D-F956697E5B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5</xdr:row>
      <xdr:rowOff>0</xdr:rowOff>
    </xdr:from>
    <xdr:to>
      <xdr:col>12</xdr:col>
      <xdr:colOff>53787</xdr:colOff>
      <xdr:row>26</xdr:row>
      <xdr:rowOff>80684</xdr:rowOff>
    </xdr:to>
    <xdr:graphicFrame macro="">
      <xdr:nvGraphicFramePr>
        <xdr:cNvPr id="7" name="Chart 6">
          <a:extLst>
            <a:ext uri="{FF2B5EF4-FFF2-40B4-BE49-F238E27FC236}">
              <a16:creationId xmlns:a16="http://schemas.microsoft.com/office/drawing/2014/main" id="{A4EA6930-00F1-4B3A-9699-AC2988A4E2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89646</xdr:colOff>
      <xdr:row>28</xdr:row>
      <xdr:rowOff>11206</xdr:rowOff>
    </xdr:from>
    <xdr:to>
      <xdr:col>20</xdr:col>
      <xdr:colOff>336175</xdr:colOff>
      <xdr:row>43</xdr:row>
      <xdr:rowOff>0</xdr:rowOff>
    </xdr:to>
    <xdr:graphicFrame macro="">
      <xdr:nvGraphicFramePr>
        <xdr:cNvPr id="8" name="Chart 7">
          <a:extLst>
            <a:ext uri="{FF2B5EF4-FFF2-40B4-BE49-F238E27FC236}">
              <a16:creationId xmlns:a16="http://schemas.microsoft.com/office/drawing/2014/main" id="{BA054B05-88E9-4614-BDE4-D93F7E208B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168088</xdr:colOff>
      <xdr:row>43</xdr:row>
      <xdr:rowOff>168090</xdr:rowOff>
    </xdr:from>
    <xdr:to>
      <xdr:col>20</xdr:col>
      <xdr:colOff>470647</xdr:colOff>
      <xdr:row>64</xdr:row>
      <xdr:rowOff>22412</xdr:rowOff>
    </xdr:to>
    <xdr:graphicFrame macro="">
      <xdr:nvGraphicFramePr>
        <xdr:cNvPr id="9" name="Chart 8">
          <a:extLst>
            <a:ext uri="{FF2B5EF4-FFF2-40B4-BE49-F238E27FC236}">
              <a16:creationId xmlns:a16="http://schemas.microsoft.com/office/drawing/2014/main" id="{C238E989-8810-4C50-973D-029D93F635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6</xdr:col>
      <xdr:colOff>963704</xdr:colOff>
      <xdr:row>77</xdr:row>
      <xdr:rowOff>0</xdr:rowOff>
    </xdr:from>
    <xdr:to>
      <xdr:col>11</xdr:col>
      <xdr:colOff>408268</xdr:colOff>
      <xdr:row>102</xdr:row>
      <xdr:rowOff>46781</xdr:rowOff>
    </xdr:to>
    <xdr:pic>
      <xdr:nvPicPr>
        <xdr:cNvPr id="10" name="Picture 9">
          <a:extLst>
            <a:ext uri="{FF2B5EF4-FFF2-40B4-BE49-F238E27FC236}">
              <a16:creationId xmlns:a16="http://schemas.microsoft.com/office/drawing/2014/main" id="{B999A519-A734-4C21-A19F-06B317AB4E1B}"/>
            </a:ext>
          </a:extLst>
        </xdr:cNvPr>
        <xdr:cNvPicPr>
          <a:picLocks noChangeAspect="1"/>
        </xdr:cNvPicPr>
      </xdr:nvPicPr>
      <xdr:blipFill rotWithShape="1">
        <a:blip xmlns:r="http://schemas.openxmlformats.org/officeDocument/2006/relationships" r:embed="rId5"/>
        <a:srcRect l="18729" r="9185"/>
        <a:stretch/>
      </xdr:blipFill>
      <xdr:spPr>
        <a:xfrm>
          <a:off x="8085229" y="15020925"/>
          <a:ext cx="3918139" cy="409808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665443</xdr:colOff>
      <xdr:row>4</xdr:row>
      <xdr:rowOff>152336</xdr:rowOff>
    </xdr:from>
    <xdr:to>
      <xdr:col>5</xdr:col>
      <xdr:colOff>607172</xdr:colOff>
      <xdr:row>26</xdr:row>
      <xdr:rowOff>76138</xdr:rowOff>
    </xdr:to>
    <xdr:graphicFrame macro="">
      <xdr:nvGraphicFramePr>
        <xdr:cNvPr id="2" name="Chart 1">
          <a:extLst>
            <a:ext uri="{FF2B5EF4-FFF2-40B4-BE49-F238E27FC236}">
              <a16:creationId xmlns:a16="http://schemas.microsoft.com/office/drawing/2014/main" id="{BE3FC7C7-2178-46D7-9EA3-086A25D84A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665443</xdr:colOff>
      <xdr:row>4</xdr:row>
      <xdr:rowOff>152336</xdr:rowOff>
    </xdr:from>
    <xdr:to>
      <xdr:col>5</xdr:col>
      <xdr:colOff>607172</xdr:colOff>
      <xdr:row>26</xdr:row>
      <xdr:rowOff>76138</xdr:rowOff>
    </xdr:to>
    <xdr:graphicFrame macro="">
      <xdr:nvGraphicFramePr>
        <xdr:cNvPr id="6" name="Chart 5">
          <a:extLst>
            <a:ext uri="{FF2B5EF4-FFF2-40B4-BE49-F238E27FC236}">
              <a16:creationId xmlns:a16="http://schemas.microsoft.com/office/drawing/2014/main" id="{E929DC06-0A7E-4740-A8BF-F8CB505AC2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5</xdr:row>
      <xdr:rowOff>0</xdr:rowOff>
    </xdr:from>
    <xdr:to>
      <xdr:col>12</xdr:col>
      <xdr:colOff>53787</xdr:colOff>
      <xdr:row>26</xdr:row>
      <xdr:rowOff>80684</xdr:rowOff>
    </xdr:to>
    <xdr:graphicFrame macro="">
      <xdr:nvGraphicFramePr>
        <xdr:cNvPr id="7" name="Chart 6">
          <a:extLst>
            <a:ext uri="{FF2B5EF4-FFF2-40B4-BE49-F238E27FC236}">
              <a16:creationId xmlns:a16="http://schemas.microsoft.com/office/drawing/2014/main" id="{E0955985-A1BD-406F-AEA5-F6101FA241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33618</xdr:colOff>
      <xdr:row>27</xdr:row>
      <xdr:rowOff>0</xdr:rowOff>
    </xdr:from>
    <xdr:to>
      <xdr:col>18</xdr:col>
      <xdr:colOff>201707</xdr:colOff>
      <xdr:row>40</xdr:row>
      <xdr:rowOff>100853</xdr:rowOff>
    </xdr:to>
    <xdr:graphicFrame macro="">
      <xdr:nvGraphicFramePr>
        <xdr:cNvPr id="8" name="Chart 7">
          <a:extLst>
            <a:ext uri="{FF2B5EF4-FFF2-40B4-BE49-F238E27FC236}">
              <a16:creationId xmlns:a16="http://schemas.microsoft.com/office/drawing/2014/main" id="{E3949644-A809-497B-B3F6-68DEEB1A66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67234</xdr:colOff>
      <xdr:row>41</xdr:row>
      <xdr:rowOff>1</xdr:rowOff>
    </xdr:from>
    <xdr:to>
      <xdr:col>18</xdr:col>
      <xdr:colOff>504264</xdr:colOff>
      <xdr:row>60</xdr:row>
      <xdr:rowOff>56030</xdr:rowOff>
    </xdr:to>
    <xdr:graphicFrame macro="">
      <xdr:nvGraphicFramePr>
        <xdr:cNvPr id="9" name="Chart 8">
          <a:extLst>
            <a:ext uri="{FF2B5EF4-FFF2-40B4-BE49-F238E27FC236}">
              <a16:creationId xmlns:a16="http://schemas.microsoft.com/office/drawing/2014/main" id="{97409729-10A6-49CD-A93E-7019211D4E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665443</xdr:colOff>
      <xdr:row>4</xdr:row>
      <xdr:rowOff>152336</xdr:rowOff>
    </xdr:from>
    <xdr:to>
      <xdr:col>5</xdr:col>
      <xdr:colOff>607172</xdr:colOff>
      <xdr:row>26</xdr:row>
      <xdr:rowOff>76138</xdr:rowOff>
    </xdr:to>
    <xdr:graphicFrame macro="">
      <xdr:nvGraphicFramePr>
        <xdr:cNvPr id="2" name="Chart 1">
          <a:extLst>
            <a:ext uri="{FF2B5EF4-FFF2-40B4-BE49-F238E27FC236}">
              <a16:creationId xmlns:a16="http://schemas.microsoft.com/office/drawing/2014/main" id="{38856696-BE0E-43A5-BB26-EBF50DB474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665443</xdr:colOff>
      <xdr:row>4</xdr:row>
      <xdr:rowOff>152336</xdr:rowOff>
    </xdr:from>
    <xdr:to>
      <xdr:col>5</xdr:col>
      <xdr:colOff>607172</xdr:colOff>
      <xdr:row>26</xdr:row>
      <xdr:rowOff>76138</xdr:rowOff>
    </xdr:to>
    <xdr:graphicFrame macro="">
      <xdr:nvGraphicFramePr>
        <xdr:cNvPr id="6" name="Chart 5">
          <a:extLst>
            <a:ext uri="{FF2B5EF4-FFF2-40B4-BE49-F238E27FC236}">
              <a16:creationId xmlns:a16="http://schemas.microsoft.com/office/drawing/2014/main" id="{71F6E199-732E-4293-9227-E7F5C803CF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5</xdr:row>
      <xdr:rowOff>0</xdr:rowOff>
    </xdr:from>
    <xdr:to>
      <xdr:col>12</xdr:col>
      <xdr:colOff>53787</xdr:colOff>
      <xdr:row>26</xdr:row>
      <xdr:rowOff>80684</xdr:rowOff>
    </xdr:to>
    <xdr:graphicFrame macro="">
      <xdr:nvGraphicFramePr>
        <xdr:cNvPr id="7" name="Chart 6">
          <a:extLst>
            <a:ext uri="{FF2B5EF4-FFF2-40B4-BE49-F238E27FC236}">
              <a16:creationId xmlns:a16="http://schemas.microsoft.com/office/drawing/2014/main" id="{DFDBA1A3-9E6B-4B60-B66F-49C553F8FF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515470</xdr:colOff>
      <xdr:row>28</xdr:row>
      <xdr:rowOff>1</xdr:rowOff>
    </xdr:from>
    <xdr:to>
      <xdr:col>18</xdr:col>
      <xdr:colOff>67235</xdr:colOff>
      <xdr:row>41</xdr:row>
      <xdr:rowOff>35861</xdr:rowOff>
    </xdr:to>
    <xdr:graphicFrame macro="">
      <xdr:nvGraphicFramePr>
        <xdr:cNvPr id="8" name="Chart 7">
          <a:extLst>
            <a:ext uri="{FF2B5EF4-FFF2-40B4-BE49-F238E27FC236}">
              <a16:creationId xmlns:a16="http://schemas.microsoft.com/office/drawing/2014/main" id="{35F12E86-115C-4D93-8D93-20C4E8ED05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571499</xdr:colOff>
      <xdr:row>41</xdr:row>
      <xdr:rowOff>190501</xdr:rowOff>
    </xdr:from>
    <xdr:to>
      <xdr:col>18</xdr:col>
      <xdr:colOff>56029</xdr:colOff>
      <xdr:row>59</xdr:row>
      <xdr:rowOff>145677</xdr:rowOff>
    </xdr:to>
    <xdr:graphicFrame macro="">
      <xdr:nvGraphicFramePr>
        <xdr:cNvPr id="9" name="Chart 8">
          <a:extLst>
            <a:ext uri="{FF2B5EF4-FFF2-40B4-BE49-F238E27FC236}">
              <a16:creationId xmlns:a16="http://schemas.microsoft.com/office/drawing/2014/main" id="{2F1E1982-65CA-4AD4-BC3B-E9FC613B46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676649</xdr:colOff>
      <xdr:row>3</xdr:row>
      <xdr:rowOff>40278</xdr:rowOff>
    </xdr:from>
    <xdr:to>
      <xdr:col>5</xdr:col>
      <xdr:colOff>618378</xdr:colOff>
      <xdr:row>24</xdr:row>
      <xdr:rowOff>120961</xdr:rowOff>
    </xdr:to>
    <xdr:graphicFrame macro="">
      <xdr:nvGraphicFramePr>
        <xdr:cNvPr id="2" name="Chart 1">
          <a:extLst>
            <a:ext uri="{FF2B5EF4-FFF2-40B4-BE49-F238E27FC236}">
              <a16:creationId xmlns:a16="http://schemas.microsoft.com/office/drawing/2014/main" id="{6096C1C5-ACC2-4C40-8CAB-889D0581AB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WRK_GRP\Energy%20Conservation\2009%20Budget%20Filing\Stilmulus%20Backup\C&amp;LM%20Combined%20Budget%20%20-%20Stimulus%20Backup.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DepartmentData/UG-C&amp;LM/Deptdata/MPR/MKTPLAN/2022%20eafc/March%20Filing%2003-01-2022/UIL%20Files/2022-24%20CNG-SCG%20Budgets%20%202.2.2022%20revision%20SCG%20Actuals.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DepartmentData/UG-C&amp;LM/Deptdata/MPR/MKTPLAN/2023%20eafc/UI%20All%20Files/2023-25%20Proposed%20Gas%20Budget%20with%20Pies.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DepartmentData/UG-C&amp;LM/Deptdata/MPR/MKTPLAN/2022%20eafc/2022%20-%20EE%20Plan/UIL%20Files/CNG-SCG%20Tables%20A-C%2008.26.2021.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DepartmentData/UG-C&amp;LM/Deptdata/MPR/MKTPLAN/2022%20eafc/March%20Filing%2003-01-2022/Gas/2022-2024%20EE%20BUDGET%20MASTER%20-%20NATURAL%20GAS%2003-01-22%20Filing.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DepartmentData/UG-C&amp;LM/Deptdata/MPR/MKTPLAN/2023%20eafc/New%20Pie%20Charts%20for%20the%202022-2024%20-%20need%20to%20update%20-%20Final.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DepartmentData/UG-C&amp;LM/Deptdata/MPR/MKTPLAN/2023%20eafc/Screening%20Models/Nov_2022_Filing/2-ES_%202022-2024_Nov%2022_Filing_Model_Oct_7_2022.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DepartmentData/UG-C&amp;LM/Deptdata/MPR/MKTPLAN/2020%20eafc/Ghani%20-%20Planning%20Models_Table%20B's/March%20Filing/ES%202020_2021_CT_March1%20filing%20Screening.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Deptdata/MPR/MKTPLAN/2018%20eafc/2016-2018%20-%20EE%20Plan%2003-01-18%20Filing/Sent%20Out%2003-01-18/2018_Screening_Gas_Electric_03_1_2018_Final.xlsm"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DepartmentData/UG-C&amp;LM/Deptdata/MPR/MKTPLAN/2021%20eafc/2021%20Screening%20Model/March%20Filing/Final%20Model/ES_2021_%20Screening%20Model_Ma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WRK_GRP/Energy%20Conservation/2010%20Docket%2009-10-03%20EL-17%20thru%20EL-33/Attachment%20EL-17-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eptdata/MPR/KPI/Monthly%20Reports/2009/KPI_input_worksheet_09%20Revised_Jan%202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eptdata/MPR/MKTPLAN/2016%20eafc/2016-2018%20EE%20Plan/Electric/2016-2018%20EE%20BUDGET%20MASTER%20-%20Electric.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WINNT/TEMP/C.Lotus.Notes.Data/2002_CL&amp;P_Res_TWash.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WINNT\TEMP\C.Lotus.Notes.Data\2002_CL&amp;P_Res_TWash.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Yankee%20Gas\YGS%20ROR%20Schedule%20December%202003%20Revised.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WRK_GRP/Energy%20Conservation/2009%20Budget%20Filing/2009CLMBUDGET_CLP&amp;UI_081208j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DepartmentData/UG-C&amp;LM/Deptdata/MPR/MKTPLAN/2021%20eafc/March%20Filing%2003-01-2021/UIL%20Files/Gas%20Tables%20A%20thru%20D%20with%20PMI%20%202.4.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2009 Comb Revenues A2"/>
      <sheetName val="CLM Programs"/>
      <sheetName val="Input Assumptions"/>
    </sheetNames>
    <sheetDataSet>
      <sheetData sheetId="0" refreshError="1"/>
      <sheetData sheetId="1" refreshError="1"/>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NG Table A"/>
      <sheetName val="CNG Table A2"/>
      <sheetName val="SCG Table A"/>
      <sheetName val="CNG 2022 Table A Pie Chart"/>
      <sheetName val="SCG 2022 Table A Pie Chart"/>
      <sheetName val="CNG 2023 Table A Pie Chart"/>
      <sheetName val="SCG 2023 Table A Pie Chart"/>
      <sheetName val="CNG 2024 Table A Pie Chart"/>
      <sheetName val="SCG 2024 Table A Pie Chart"/>
      <sheetName val="SCG Table A2"/>
      <sheetName val="CNG Table C 2022"/>
      <sheetName val="CNG Table C 2023"/>
      <sheetName val="CNG Table C 2024"/>
      <sheetName val="CNG 2022 Table C Pie Chart"/>
      <sheetName val="CNG 2023 Table C Pie Chart"/>
      <sheetName val="CNG 2024 Table C Pie Chart"/>
      <sheetName val="SCG Table C 2022"/>
      <sheetName val="SCG Table C 2023"/>
      <sheetName val="SCG Table C 2024"/>
      <sheetName val="SCG 2022 Table C Pie Chart"/>
      <sheetName val="SCG 2023 Table C Pie Chart"/>
      <sheetName val="SCG 2024 Table C Pie Chart"/>
    </sheetNames>
    <sheetDataSet>
      <sheetData sheetId="0">
        <row r="13">
          <cell r="E13">
            <v>21028</v>
          </cell>
          <cell r="G13">
            <v>480479.74209008168</v>
          </cell>
        </row>
        <row r="14">
          <cell r="E14">
            <v>4516900</v>
          </cell>
          <cell r="G14">
            <v>2689118.5486931698</v>
          </cell>
        </row>
        <row r="15">
          <cell r="E15">
            <v>3010011</v>
          </cell>
          <cell r="G15">
            <v>1356035.2151158133</v>
          </cell>
        </row>
        <row r="16">
          <cell r="E16">
            <v>3696772</v>
          </cell>
          <cell r="G16">
            <v>3735755.1693553999</v>
          </cell>
        </row>
        <row r="17">
          <cell r="E17">
            <v>62321</v>
          </cell>
          <cell r="G17">
            <v>133390.88669326584</v>
          </cell>
        </row>
        <row r="20">
          <cell r="E20">
            <v>3713683</v>
          </cell>
          <cell r="G20">
            <v>1708700.7141989998</v>
          </cell>
        </row>
        <row r="21">
          <cell r="E21">
            <v>925543</v>
          </cell>
          <cell r="G21">
            <v>1011721.7125900991</v>
          </cell>
        </row>
        <row r="22">
          <cell r="E22">
            <v>308472</v>
          </cell>
          <cell r="G22">
            <v>536581.49806664698</v>
          </cell>
        </row>
        <row r="23">
          <cell r="E23">
            <v>94822</v>
          </cell>
          <cell r="G23">
            <v>433484.85750000004</v>
          </cell>
        </row>
        <row r="26">
          <cell r="E26">
            <v>0</v>
          </cell>
          <cell r="G26">
            <v>72927</v>
          </cell>
        </row>
        <row r="27">
          <cell r="E27">
            <v>0</v>
          </cell>
          <cell r="G27">
            <v>183176</v>
          </cell>
        </row>
        <row r="30">
          <cell r="E30">
            <v>25240</v>
          </cell>
          <cell r="G30">
            <v>76667.08128046451</v>
          </cell>
        </row>
        <row r="31">
          <cell r="E31">
            <v>15434</v>
          </cell>
          <cell r="G31">
            <v>82666.66</v>
          </cell>
        </row>
        <row r="32">
          <cell r="E32">
            <v>17227</v>
          </cell>
          <cell r="G32">
            <v>79999.78509823716</v>
          </cell>
        </row>
        <row r="33">
          <cell r="E33">
            <v>0</v>
          </cell>
          <cell r="G33">
            <v>50000.1191625832</v>
          </cell>
        </row>
        <row r="36">
          <cell r="E36">
            <v>0</v>
          </cell>
          <cell r="G36">
            <v>86292</v>
          </cell>
        </row>
        <row r="37">
          <cell r="E37">
            <v>0</v>
          </cell>
          <cell r="G37">
            <v>20000</v>
          </cell>
        </row>
        <row r="38">
          <cell r="E38">
            <v>11573</v>
          </cell>
          <cell r="G38">
            <v>50000</v>
          </cell>
        </row>
        <row r="41">
          <cell r="E41">
            <v>207327</v>
          </cell>
          <cell r="G41">
            <v>188010.6985</v>
          </cell>
        </row>
        <row r="42">
          <cell r="E42">
            <v>72130</v>
          </cell>
          <cell r="G42">
            <v>40100</v>
          </cell>
        </row>
        <row r="43">
          <cell r="E43">
            <v>99898.4</v>
          </cell>
          <cell r="G43">
            <v>122147.7415</v>
          </cell>
        </row>
        <row r="44">
          <cell r="E44">
            <v>200000</v>
          </cell>
          <cell r="G44">
            <v>300000</v>
          </cell>
        </row>
        <row r="45">
          <cell r="E45">
            <v>21931</v>
          </cell>
          <cell r="G45">
            <v>29607</v>
          </cell>
        </row>
        <row r="46">
          <cell r="E46">
            <v>339848.49</v>
          </cell>
          <cell r="G46">
            <v>584821.74549999996</v>
          </cell>
        </row>
        <row r="47">
          <cell r="E47">
            <v>43333</v>
          </cell>
          <cell r="G47">
            <v>53333</v>
          </cell>
        </row>
        <row r="48">
          <cell r="E48">
            <v>10000</v>
          </cell>
          <cell r="G48">
            <v>10000</v>
          </cell>
        </row>
        <row r="49">
          <cell r="E49">
            <v>459606</v>
          </cell>
          <cell r="G49">
            <v>701103.85858006671</v>
          </cell>
        </row>
      </sheetData>
      <sheetData sheetId="1"/>
      <sheetData sheetId="2">
        <row r="13">
          <cell r="E13">
            <v>6016</v>
          </cell>
          <cell r="G13">
            <v>533017.77992057626</v>
          </cell>
        </row>
        <row r="14">
          <cell r="E14">
            <v>3888662</v>
          </cell>
          <cell r="G14">
            <v>1994681.0564015105</v>
          </cell>
        </row>
        <row r="15">
          <cell r="E15">
            <v>3675770</v>
          </cell>
          <cell r="G15">
            <v>1412137.7400000002</v>
          </cell>
        </row>
        <row r="16">
          <cell r="E16">
            <v>3088035</v>
          </cell>
          <cell r="G16">
            <v>2663429.4900000002</v>
          </cell>
        </row>
        <row r="17">
          <cell r="E17">
            <v>145113</v>
          </cell>
          <cell r="G17">
            <v>118187.09494220393</v>
          </cell>
        </row>
        <row r="20">
          <cell r="E20">
            <v>2906608</v>
          </cell>
          <cell r="G20">
            <v>1200880.6669574003</v>
          </cell>
        </row>
        <row r="21">
          <cell r="E21">
            <v>750905</v>
          </cell>
          <cell r="G21">
            <v>822945.61635614105</v>
          </cell>
        </row>
        <row r="22">
          <cell r="E22">
            <v>249022</v>
          </cell>
          <cell r="G22">
            <v>369558.35938470898</v>
          </cell>
        </row>
        <row r="23">
          <cell r="E23">
            <v>428445</v>
          </cell>
          <cell r="G23">
            <v>314296.37</v>
          </cell>
        </row>
        <row r="26">
          <cell r="E26">
            <v>0</v>
          </cell>
          <cell r="G26">
            <v>198351.5</v>
          </cell>
        </row>
        <row r="27">
          <cell r="E27">
            <v>0</v>
          </cell>
          <cell r="G27">
            <v>183176</v>
          </cell>
        </row>
        <row r="30">
          <cell r="E30">
            <v>22829</v>
          </cell>
          <cell r="G30">
            <v>76667.17778046451</v>
          </cell>
        </row>
        <row r="31">
          <cell r="E31">
            <v>15434</v>
          </cell>
          <cell r="G31">
            <v>82666.66</v>
          </cell>
        </row>
        <row r="32">
          <cell r="E32">
            <v>17227</v>
          </cell>
          <cell r="G32">
            <v>80000.011098237155</v>
          </cell>
        </row>
        <row r="33">
          <cell r="E33">
            <v>0</v>
          </cell>
          <cell r="G33">
            <v>49999.721162583199</v>
          </cell>
        </row>
        <row r="36">
          <cell r="E36">
            <v>0</v>
          </cell>
          <cell r="G36">
            <v>86292</v>
          </cell>
        </row>
        <row r="37">
          <cell r="E37">
            <v>0</v>
          </cell>
          <cell r="G37">
            <v>75000</v>
          </cell>
        </row>
        <row r="38">
          <cell r="E38">
            <v>84073</v>
          </cell>
          <cell r="G38">
            <v>50000</v>
          </cell>
        </row>
        <row r="41">
          <cell r="E41">
            <v>159274</v>
          </cell>
          <cell r="G41">
            <v>188007</v>
          </cell>
        </row>
        <row r="42">
          <cell r="E42">
            <v>70801</v>
          </cell>
          <cell r="G42">
            <v>40100</v>
          </cell>
        </row>
        <row r="43">
          <cell r="E43">
            <v>90033.4</v>
          </cell>
          <cell r="G43">
            <v>63502</v>
          </cell>
        </row>
        <row r="44">
          <cell r="E44">
            <v>200000.4</v>
          </cell>
          <cell r="G44">
            <v>300000</v>
          </cell>
        </row>
        <row r="45">
          <cell r="E45">
            <v>21931</v>
          </cell>
          <cell r="G45">
            <v>29607</v>
          </cell>
        </row>
        <row r="46">
          <cell r="E46">
            <v>328131</v>
          </cell>
          <cell r="G46">
            <v>609473</v>
          </cell>
        </row>
        <row r="47">
          <cell r="E47">
            <v>43333</v>
          </cell>
          <cell r="G47">
            <v>53333</v>
          </cell>
        </row>
        <row r="48">
          <cell r="E48">
            <v>10000</v>
          </cell>
          <cell r="G48">
            <v>10000</v>
          </cell>
        </row>
        <row r="49">
          <cell r="E49">
            <v>696820</v>
          </cell>
          <cell r="G49">
            <v>575618.46208575531</v>
          </cell>
        </row>
      </sheetData>
      <sheetData sheetId="3">
        <row r="28">
          <cell r="B28">
            <v>3735755.1693553999</v>
          </cell>
        </row>
      </sheetData>
      <sheetData sheetId="4">
        <row r="28">
          <cell r="B28">
            <v>2663429.4900000002</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2-2013 Combined Table A1 "/>
      <sheetName val="2013-2015 Combined Table A1"/>
      <sheetName val="Combined Table A2"/>
      <sheetName val="2013 Table A1 Pies"/>
      <sheetName val="2012 Combined Table A1 -Inc.Fun"/>
      <sheetName val="2014 Table A1 Pies "/>
      <sheetName val="2015 Table A1 Pies "/>
      <sheetName val="Summary DN10-10-03 Order 26i "/>
      <sheetName val="DN 10-10-03 Order 26i YGS "/>
      <sheetName val="DN 10-10-03 Order 26i CNG"/>
      <sheetName val="DN 10-10-03 Order 26i SCG"/>
      <sheetName val="YGS Table A "/>
      <sheetName val="YGS 2013 Table A Pie Charts "/>
      <sheetName val="YGS 2014 Table A Pie Charts  "/>
      <sheetName val="YGS 2015 Table A Pie Charts "/>
      <sheetName val="Revision History"/>
      <sheetName val="CNG Table A"/>
      <sheetName val="CNG 2013 Table A Pie Charts"/>
      <sheetName val="CNG 2014 Table A Pie Charts"/>
      <sheetName val="CNG 2016 Table A Pie Charts "/>
      <sheetName val="CNG 2017 Table A Pie Charts"/>
      <sheetName val="CNG 2022 Table A Pie Chart"/>
      <sheetName val="CNG 2023 Table A Pie Chart"/>
      <sheetName val="CNG 2024 Table A Pie Chart"/>
      <sheetName val="CNG Table A2"/>
      <sheetName val="Budget Allocation Table"/>
      <sheetName val="SCG Table A"/>
      <sheetName val="SCG 2013 Table A Pie Charts"/>
      <sheetName val="SCG 2014 Table A Pie Charts "/>
      <sheetName val="2013 Summary Table B "/>
      <sheetName val="Summary Table B  Incr. Sav"/>
      <sheetName val="SCG 2016 Table A Pie Charts"/>
      <sheetName val="2014 Summary Table B "/>
      <sheetName val="SCG 2017 Table A Pie Charts"/>
      <sheetName val="SCG 2022 Table A Pie Chart"/>
      <sheetName val="SCG 2023 Table A Pie Chart"/>
      <sheetName val="SCG 2024 Table A Pie Chart"/>
      <sheetName val="SCG Table A2"/>
      <sheetName val="Budget Allocation Table  "/>
      <sheetName val="2016 Summary Table B"/>
      <sheetName val="YGS 2013 Table C Pie Chart "/>
      <sheetName val="YGS Table C 2012 Increased Fund"/>
      <sheetName val="YGS 2012 Tab C Pie Chart Inc Fu"/>
      <sheetName val="YGS Table C 2013"/>
      <sheetName val="YGS 2013 Tab C Pie Chart "/>
      <sheetName val="YGS Table C 2014"/>
      <sheetName val="YGS 2014 Tab C Pie Chart "/>
      <sheetName val="YGS Table C 2015"/>
      <sheetName val="YGS 2015 Tab C Pie Chart "/>
      <sheetName val="CNG Table C 2013"/>
      <sheetName val="CNG 2013 Table C Pie Chart"/>
      <sheetName val="CNG Table C 2012 INCREASED FUND"/>
      <sheetName val="CNG 2012 Table C Pie Chart Incr"/>
      <sheetName val="CNG Table C 2014"/>
      <sheetName val="CNG 2014 Table C Pie Chart"/>
      <sheetName val="10.1.15 2016 Summary Table B"/>
      <sheetName val="2017 Summary Table B"/>
      <sheetName val="10.1.15 2017 Summary Table B"/>
      <sheetName val="Mar 16 2017 Summary Table B"/>
      <sheetName val="2018 Summary Table B"/>
      <sheetName val="2019 Summary Table B"/>
      <sheetName val="10.1.15 2018 Summary Table B"/>
      <sheetName val="Mar 16 2018 Summary Table B"/>
      <sheetName val="CNG Table C 2016"/>
      <sheetName val="10.1.15 CNG Table C 2016"/>
      <sheetName val="CNG 2016 Table C Pie Chart"/>
      <sheetName val="SCG Table C 2013"/>
      <sheetName val="SCG 2013 Table C Pie Chart"/>
      <sheetName val="SCG Table C 2012 Incr. Sav"/>
      <sheetName val="SCG Table C Pie Chart Incr. Sav"/>
      <sheetName val="SCG Table C 2014"/>
      <sheetName val="SCG 2014 Table C Pie Chart"/>
      <sheetName val="CNG Table C 2017"/>
      <sheetName val="10.1.15 CNG Table C 2017"/>
      <sheetName val="Mar 16 CNG Table C 2017"/>
      <sheetName val="CNG 2017 Table C Pie Chart"/>
      <sheetName val="2022 Summary Table B"/>
      <sheetName val="2023 Summary Table B"/>
      <sheetName val="2024 Summary Table B"/>
      <sheetName val="CNG Table C 2018"/>
      <sheetName val="CNG Table C 2019"/>
      <sheetName val="10.1.15 CNG Table C 2018"/>
      <sheetName val="Mar 16 CNG Table C 2018"/>
      <sheetName val="SCG Table C 2016"/>
      <sheetName val="10.1.15 SCG Table C 2016"/>
      <sheetName val="SCG 2016 Table C Pie Chart"/>
      <sheetName val="YGS Table D"/>
      <sheetName val="YGS Table D1 "/>
      <sheetName val="YGS Table D1"/>
      <sheetName val="YGS Table D3"/>
      <sheetName val="SCG Table C 2017"/>
      <sheetName val="10.1.15 SCG Table C 2017"/>
      <sheetName val="Mar 16 SCG Table C 2017"/>
      <sheetName val="SCG 2017 Table C Pie Chart"/>
      <sheetName val="10.1.15 SCG Table C 2018"/>
      <sheetName val="Mar 16 SCG Table C 2018"/>
      <sheetName val="CNG Table C 2022"/>
      <sheetName val="CNG Table C 2023"/>
      <sheetName val="CNG Table C 2024"/>
      <sheetName val="SCG Table C 2018"/>
      <sheetName val="SCG Table C 2019"/>
      <sheetName val="CNG Table C 2025"/>
      <sheetName val="CNG 2022 Table C Pie Chart"/>
      <sheetName val="CNG 2023 Table C Pie Chart"/>
      <sheetName val="CNG 2024 Table C Pie Chart"/>
      <sheetName val="SCG Table C 2022"/>
      <sheetName val="SCG Table C 2023"/>
      <sheetName val="SCG Table C 2024"/>
      <sheetName val="SCG Table C 2025"/>
      <sheetName val="SCG 2022 Table C Pie Chart"/>
      <sheetName val="YGS 2013 Exhibit 4"/>
      <sheetName val="YGS 2014 Exhibit 4"/>
      <sheetName val="YGS 2015 Exhibit 4"/>
      <sheetName val="CNG 2013 Exhibit 4"/>
      <sheetName val="CNG 2014 Exhibit 4"/>
      <sheetName val="SCG 2013 Exhibit 4"/>
      <sheetName val="CNG 2016 Exhibit 4"/>
      <sheetName val="SCG 2014 Exhibit 4"/>
      <sheetName val="YGS Income Eligible "/>
      <sheetName val="YGS HES "/>
      <sheetName val="YGS New Construction"/>
      <sheetName val="YGS Water Heating "/>
      <sheetName val="YGS ECB  "/>
      <sheetName val="YGS ENOPP "/>
      <sheetName val="YGS O&amp;M "/>
      <sheetName val="YGS SBEA    "/>
      <sheetName val="Smart Living "/>
      <sheetName val="EE Communities "/>
      <sheetName val="CNG 2017 Exhibit 4"/>
      <sheetName val="SCG 2023 Table C Pie Chart"/>
      <sheetName val="SCG 2024 Table C Pie Chart"/>
      <sheetName val="SCG 2025 Table C Pie Chart"/>
      <sheetName val="CNG Table D"/>
      <sheetName val="CNG Table D1"/>
      <sheetName val="CNG Table D2"/>
      <sheetName val="CNG Table D3"/>
      <sheetName val="SCG Table D "/>
      <sheetName val="SCG Table D1 "/>
      <sheetName val="SCG Table D2"/>
      <sheetName val="SCG Table D3"/>
      <sheetName val="CNG 2022 Exhibit 4"/>
      <sheetName val="CNG 2023 Exhibit 4"/>
      <sheetName val="CNG 2024 Exhibit 4"/>
      <sheetName val="SCG 2022 Exhibit 4"/>
      <sheetName val="SCG 2023 Exhibit 4"/>
      <sheetName val="SCG 2024 Exhibit 4"/>
      <sheetName val="SCG 2016 Exhibit 4"/>
      <sheetName val="SCG 2017 Exhibit 4"/>
      <sheetName val="CNG Income Eligible"/>
      <sheetName val="SCG Income Eligible"/>
      <sheetName val="YGS Water Heating"/>
      <sheetName val="CNG Water Heating"/>
      <sheetName val="SCG Water Heating"/>
      <sheetName val="CNG HES"/>
      <sheetName val="SCG HES"/>
      <sheetName val="CNG New Construction"/>
      <sheetName val="SCG New Construction"/>
      <sheetName val="SCG Residential Behavior"/>
      <sheetName val="CNG ECB"/>
      <sheetName val="SCG ECB"/>
      <sheetName val="YGS ENOPP"/>
      <sheetName val="CNG ENOPP"/>
      <sheetName val="SCG ENOPP"/>
      <sheetName val="YGS O&amp;M"/>
      <sheetName val="CNG O&amp;M"/>
      <sheetName val="SCG O&amp;M"/>
      <sheetName val="CNG SBEA"/>
      <sheetName val="SCG SBEA"/>
      <sheetName val="CNG ECC"/>
      <sheetName val="SCG ECC"/>
      <sheetName val="CNG K-12"/>
      <sheetName val="SCG K-12"/>
      <sheetName val="CNG CEC"/>
      <sheetName val="SCG CEC"/>
      <sheetName val="YGS Income Eligible  (2)"/>
      <sheetName val="YGS HES (2)"/>
      <sheetName val="YGS Water Heating   "/>
      <sheetName val="YGS ECB   "/>
      <sheetName val="YGS ENOPP  "/>
      <sheetName val="YGS O&amp;M   "/>
      <sheetName val="YGS SBEA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3">
          <cell r="J13">
            <v>293761.55409718014</v>
          </cell>
          <cell r="M13">
            <v>117504.62163887206</v>
          </cell>
          <cell r="N13">
            <v>58752.310819436032</v>
          </cell>
        </row>
        <row r="14">
          <cell r="J14">
            <v>3317020.5047965101</v>
          </cell>
          <cell r="M14">
            <v>3331236.7278325986</v>
          </cell>
        </row>
        <row r="15">
          <cell r="J15">
            <v>1062339.0412094784</v>
          </cell>
          <cell r="M15">
            <v>1062339.4158166039</v>
          </cell>
          <cell r="N15">
            <v>1062339.4158166039</v>
          </cell>
        </row>
        <row r="16">
          <cell r="J16">
            <v>4737409.9147097096</v>
          </cell>
          <cell r="M16">
            <v>4862141.4270319892</v>
          </cell>
          <cell r="N16">
            <v>4918338.133831637</v>
          </cell>
        </row>
        <row r="17">
          <cell r="J17">
            <v>171155.52915580795</v>
          </cell>
          <cell r="M17">
            <v>176102.00105573717</v>
          </cell>
          <cell r="N17">
            <v>177199.52260588371</v>
          </cell>
        </row>
        <row r="20">
          <cell r="J20">
            <v>1975107.6746147869</v>
          </cell>
          <cell r="M20">
            <v>2032227.696005163</v>
          </cell>
          <cell r="N20">
            <v>2042302.8345758275</v>
          </cell>
        </row>
        <row r="21">
          <cell r="J21">
            <v>1152717.7822517415</v>
          </cell>
          <cell r="M21">
            <v>1182948.5934229754</v>
          </cell>
          <cell r="N21">
            <v>1188813.2763146306</v>
          </cell>
        </row>
        <row r="22">
          <cell r="J22">
            <v>608762.80100521806</v>
          </cell>
          <cell r="M22">
            <v>624239.1142419352</v>
          </cell>
          <cell r="N22">
            <v>627333.89323229122</v>
          </cell>
        </row>
        <row r="23">
          <cell r="J23">
            <v>475581.6991567784</v>
          </cell>
          <cell r="M23">
            <v>484607.63636258419</v>
          </cell>
          <cell r="N23">
            <v>487010.16689513868</v>
          </cell>
        </row>
        <row r="26">
          <cell r="J26">
            <v>151002.5</v>
          </cell>
          <cell r="M26">
            <v>156408.42499999999</v>
          </cell>
          <cell r="N26">
            <v>156408.42499999999</v>
          </cell>
        </row>
        <row r="27">
          <cell r="J27">
            <v>187384.76</v>
          </cell>
          <cell r="M27">
            <v>191719.78279999999</v>
          </cell>
          <cell r="N27">
            <v>191719.78279999999</v>
          </cell>
        </row>
        <row r="30">
          <cell r="J30">
            <v>76667.08128046451</v>
          </cell>
          <cell r="M30">
            <v>76667.08128046451</v>
          </cell>
          <cell r="N30">
            <v>76667.08128046451</v>
          </cell>
        </row>
        <row r="31">
          <cell r="J31">
            <v>82666.66</v>
          </cell>
          <cell r="M31">
            <v>82666.66</v>
          </cell>
          <cell r="N31">
            <v>82666.66</v>
          </cell>
        </row>
        <row r="32">
          <cell r="J32">
            <v>79999.78509823716</v>
          </cell>
          <cell r="M32">
            <v>79999.78509823716</v>
          </cell>
          <cell r="N32">
            <v>79999.78509823716</v>
          </cell>
        </row>
        <row r="33">
          <cell r="J33">
            <v>50000.1191625832</v>
          </cell>
          <cell r="M33">
            <v>50000.1191625832</v>
          </cell>
          <cell r="N33">
            <v>50000.1191625832</v>
          </cell>
        </row>
        <row r="36">
          <cell r="J36">
            <v>86292</v>
          </cell>
          <cell r="M36">
            <v>86292</v>
          </cell>
          <cell r="N36">
            <v>86292</v>
          </cell>
        </row>
        <row r="37">
          <cell r="J37">
            <v>20000</v>
          </cell>
          <cell r="M37">
            <v>20000</v>
          </cell>
          <cell r="N37">
            <v>20000</v>
          </cell>
        </row>
        <row r="38">
          <cell r="J38">
            <v>50000</v>
          </cell>
          <cell r="M38">
            <v>50000</v>
          </cell>
          <cell r="N38">
            <v>50000</v>
          </cell>
        </row>
        <row r="41">
          <cell r="J41">
            <v>188010.6985</v>
          </cell>
          <cell r="M41">
            <v>188010.6985</v>
          </cell>
          <cell r="N41">
            <v>188010.6985</v>
          </cell>
        </row>
        <row r="42">
          <cell r="J42">
            <v>40100</v>
          </cell>
          <cell r="M42">
            <v>40100</v>
          </cell>
          <cell r="N42">
            <v>40100</v>
          </cell>
        </row>
        <row r="43">
          <cell r="J43">
            <v>122147.7415</v>
          </cell>
          <cell r="M43">
            <v>122147.7415</v>
          </cell>
          <cell r="N43">
            <v>122147.7415</v>
          </cell>
        </row>
        <row r="44">
          <cell r="J44">
            <v>300000</v>
          </cell>
          <cell r="M44">
            <v>300000</v>
          </cell>
          <cell r="N44">
            <v>300000</v>
          </cell>
        </row>
        <row r="45">
          <cell r="J45">
            <v>29607</v>
          </cell>
          <cell r="M45">
            <v>29607</v>
          </cell>
          <cell r="N45">
            <v>29607</v>
          </cell>
        </row>
        <row r="46">
          <cell r="J46">
            <v>284821.74550000002</v>
          </cell>
          <cell r="M46">
            <v>260821.74549999999</v>
          </cell>
          <cell r="N46">
            <v>260821.74549999999</v>
          </cell>
        </row>
        <row r="47">
          <cell r="J47">
            <v>53333</v>
          </cell>
          <cell r="M47">
            <v>53333</v>
          </cell>
          <cell r="N47">
            <v>53333</v>
          </cell>
        </row>
        <row r="48">
          <cell r="J48">
            <v>10000</v>
          </cell>
          <cell r="M48">
            <v>10000</v>
          </cell>
          <cell r="N48">
            <v>10000</v>
          </cell>
        </row>
        <row r="49">
          <cell r="J49">
            <v>775647.47950104519</v>
          </cell>
          <cell r="M49">
            <v>778909.06351248734</v>
          </cell>
        </row>
      </sheetData>
      <sheetData sheetId="17"/>
      <sheetData sheetId="18"/>
      <sheetData sheetId="19"/>
      <sheetData sheetId="20"/>
      <sheetData sheetId="21"/>
      <sheetData sheetId="22"/>
      <sheetData sheetId="23"/>
      <sheetData sheetId="24"/>
      <sheetData sheetId="25"/>
      <sheetData sheetId="26">
        <row r="13">
          <cell r="J13">
            <v>325476.62145017151</v>
          </cell>
          <cell r="M13">
            <v>130190.64858006861</v>
          </cell>
          <cell r="N13">
            <v>65095.324290034303</v>
          </cell>
        </row>
        <row r="14">
          <cell r="J14">
            <v>3018666.8668640885</v>
          </cell>
          <cell r="M14">
            <v>3116266.6701221615</v>
          </cell>
        </row>
        <row r="15">
          <cell r="J15">
            <v>1174703.2309999999</v>
          </cell>
          <cell r="M15">
            <v>1174703.2309999999</v>
          </cell>
          <cell r="N15">
            <v>1174703.2309999999</v>
          </cell>
        </row>
        <row r="16">
          <cell r="J16">
            <v>3876844.8191903494</v>
          </cell>
          <cell r="M16">
            <v>4058315.4133377485</v>
          </cell>
          <cell r="N16">
            <v>4148700.1542816451</v>
          </cell>
        </row>
        <row r="17">
          <cell r="J17">
            <v>198719.80308169994</v>
          </cell>
          <cell r="M17">
            <v>223746.65157129063</v>
          </cell>
          <cell r="N17">
            <v>223746.65157129063</v>
          </cell>
        </row>
        <row r="20">
          <cell r="J20">
            <v>1627060.417187348</v>
          </cell>
          <cell r="M20">
            <v>1647315.9130596025</v>
          </cell>
          <cell r="N20">
            <v>1667631.9415210411</v>
          </cell>
        </row>
        <row r="21">
          <cell r="J21">
            <v>1072738.4886555539</v>
          </cell>
          <cell r="M21">
            <v>1086025.4190404161</v>
          </cell>
          <cell r="N21">
            <v>1099419.1604279387</v>
          </cell>
        </row>
        <row r="22">
          <cell r="J22">
            <v>481971.15184258</v>
          </cell>
          <cell r="M22">
            <v>487916.94830691541</v>
          </cell>
          <cell r="N22">
            <v>493934.33363661257</v>
          </cell>
        </row>
        <row r="23">
          <cell r="J23">
            <v>296670.67067276919</v>
          </cell>
          <cell r="M23">
            <v>299601.97893783054</v>
          </cell>
          <cell r="N23">
            <v>303296.91218223737</v>
          </cell>
        </row>
        <row r="26">
          <cell r="J26">
            <v>206534</v>
          </cell>
          <cell r="M26">
            <v>214716.5</v>
          </cell>
          <cell r="N26">
            <v>214716.5</v>
          </cell>
        </row>
        <row r="27">
          <cell r="J27">
            <v>200259.76</v>
          </cell>
          <cell r="M27">
            <v>204981.03279999999</v>
          </cell>
          <cell r="N27">
            <v>204981.03279999999</v>
          </cell>
        </row>
        <row r="30">
          <cell r="J30">
            <v>76666.667780464501</v>
          </cell>
          <cell r="M30">
            <v>76666.667780464501</v>
          </cell>
          <cell r="N30">
            <v>76666.667780464501</v>
          </cell>
        </row>
        <row r="31">
          <cell r="J31">
            <v>82666.66</v>
          </cell>
          <cell r="M31">
            <v>82666.66</v>
          </cell>
          <cell r="N31">
            <v>82666.66</v>
          </cell>
        </row>
        <row r="32">
          <cell r="J32">
            <v>79999.991098237166</v>
          </cell>
          <cell r="M32">
            <v>79999.991098237166</v>
          </cell>
          <cell r="N32">
            <v>79999.991098237166</v>
          </cell>
        </row>
        <row r="33">
          <cell r="J33">
            <v>50000.001162583198</v>
          </cell>
          <cell r="M33">
            <v>50000.001162583198</v>
          </cell>
          <cell r="N33">
            <v>50000.001162583198</v>
          </cell>
        </row>
        <row r="36">
          <cell r="J36">
            <v>86292</v>
          </cell>
          <cell r="M36">
            <v>86292</v>
          </cell>
          <cell r="N36">
            <v>86292</v>
          </cell>
        </row>
        <row r="37">
          <cell r="J37">
            <v>75000</v>
          </cell>
          <cell r="M37">
            <v>75000</v>
          </cell>
          <cell r="N37">
            <v>75000</v>
          </cell>
        </row>
        <row r="38">
          <cell r="J38">
            <v>50000</v>
          </cell>
          <cell r="M38">
            <v>50000</v>
          </cell>
          <cell r="N38">
            <v>50000</v>
          </cell>
        </row>
        <row r="41">
          <cell r="J41">
            <v>188007</v>
          </cell>
          <cell r="M41">
            <v>188007</v>
          </cell>
          <cell r="N41">
            <v>188007</v>
          </cell>
        </row>
        <row r="42">
          <cell r="J42">
            <v>40100</v>
          </cell>
          <cell r="M42">
            <v>40100</v>
          </cell>
          <cell r="N42">
            <v>40100</v>
          </cell>
        </row>
        <row r="43">
          <cell r="J43">
            <v>63502</v>
          </cell>
          <cell r="M43">
            <v>63502</v>
          </cell>
          <cell r="N43">
            <v>63502</v>
          </cell>
        </row>
        <row r="44">
          <cell r="J44">
            <v>300000</v>
          </cell>
          <cell r="M44">
            <v>300000</v>
          </cell>
          <cell r="N44">
            <v>300000</v>
          </cell>
        </row>
        <row r="45">
          <cell r="J45">
            <v>29607</v>
          </cell>
          <cell r="M45">
            <v>29607</v>
          </cell>
          <cell r="N45">
            <v>29607</v>
          </cell>
        </row>
        <row r="46">
          <cell r="J46">
            <v>332473</v>
          </cell>
          <cell r="M46">
            <v>310473</v>
          </cell>
          <cell r="N46">
            <v>310473</v>
          </cell>
        </row>
        <row r="47">
          <cell r="J47">
            <v>53333</v>
          </cell>
          <cell r="M47">
            <v>53333</v>
          </cell>
          <cell r="N47">
            <v>53333</v>
          </cell>
        </row>
        <row r="48">
          <cell r="J48">
            <v>10000</v>
          </cell>
          <cell r="M48">
            <v>10000</v>
          </cell>
          <cell r="N48">
            <v>10000</v>
          </cell>
        </row>
        <row r="49">
          <cell r="J49">
            <v>695217.65749929228</v>
          </cell>
          <cell r="M49">
            <v>702324.38649843959</v>
          </cell>
        </row>
      </sheetData>
      <sheetData sheetId="27"/>
      <sheetData sheetId="28"/>
      <sheetData sheetId="29"/>
      <sheetData sheetId="30"/>
      <sheetData sheetId="31"/>
      <sheetData sheetId="32"/>
      <sheetData sheetId="33"/>
      <sheetData sheetId="34"/>
      <sheetData sheetId="35">
        <row r="28">
          <cell r="B28">
            <v>3876844.8191903494</v>
          </cell>
        </row>
      </sheetData>
      <sheetData sheetId="36">
        <row r="28">
          <cell r="B28">
            <v>4058315.4133377485</v>
          </cell>
        </row>
      </sheetData>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NG Table A"/>
      <sheetName val="CNG 2022 Table A Pie Chart"/>
      <sheetName val="CNG 2023 Table A Pie Chart"/>
      <sheetName val="CNG 2024 Table A Pie Chart"/>
      <sheetName val="CNG Table A2"/>
      <sheetName val="SCG Table A"/>
      <sheetName val="SCG 2022 Table A Pie Chart"/>
      <sheetName val="SCG 2023 Table A Pie Chart"/>
      <sheetName val="SCG 2024 Table A Pie Chart"/>
      <sheetName val="SCG Table A2"/>
      <sheetName val="CNG Table C 2022"/>
      <sheetName val="CNG Table C 2023"/>
      <sheetName val="CNG Table C 2024"/>
      <sheetName val="CNG 2022 Table C Pie Chart"/>
      <sheetName val="CNG 2023 Table C Pie Chart"/>
      <sheetName val="CNG 2024 Table C Pie Chart"/>
      <sheetName val="SCG Table C 2022"/>
      <sheetName val="SCG Table C 2023"/>
      <sheetName val="SCG Table C 2024"/>
      <sheetName val="SCG 2022 Table C Pie Chart"/>
      <sheetName val="SCG 2023 Table C Pie Chart"/>
      <sheetName val="SCG 2024 Table C Pie Chart"/>
    </sheetNames>
    <sheetDataSet>
      <sheetData sheetId="0"/>
      <sheetData sheetId="1">
        <row r="28">
          <cell r="B28">
            <v>3937478.0725342045</v>
          </cell>
        </row>
      </sheetData>
      <sheetData sheetId="2"/>
      <sheetData sheetId="3"/>
      <sheetData sheetId="4"/>
      <sheetData sheetId="5"/>
      <sheetData sheetId="6">
        <row r="28">
          <cell r="B28">
            <v>2852125.1848487738</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2 - 2024 Combined Table A1"/>
      <sheetName val="2021 Joint Table A1 Pies"/>
      <sheetName val="2022 Joint Table A1 Pies"/>
      <sheetName val="2022 Joint Table A1 Pies - Gas"/>
      <sheetName val="2023 Joint Table A1 Pies"/>
      <sheetName val="2024 Joint Table A1 Pies "/>
      <sheetName val="2020 - 2023 Comb Revenues A2"/>
      <sheetName val="ES CT Gas Table A"/>
      <sheetName val="Table A Pie Sector Alloc2022-24"/>
      <sheetName val="ES CT Gas 2021 Table A Pie"/>
      <sheetName val="ES CT Gas 2022 Table A Pie"/>
      <sheetName val="ES CT Gas 2023 Table A Pie"/>
      <sheetName val="ES CT Gas 2024 Table A Pie"/>
      <sheetName val="ES CT Gas 2021 Table C "/>
      <sheetName val="ES CT Gas 2021 Table C Pie"/>
      <sheetName val="ES CT Gas 2022 Table C  "/>
      <sheetName val="ES CT Gas 2022 Table C Pie "/>
      <sheetName val="ES CT Gas 2023 Table C "/>
      <sheetName val="ES CT Gas 2023 Table C Pie"/>
      <sheetName val="ES CT Gas 2024 Table C  "/>
      <sheetName val="ES CT Gas 2024 Table C Pie "/>
      <sheetName val="2013-24 ES CT G Table D-Proj $"/>
      <sheetName val="2013-24 ES CT G Table D1 AnnCCF"/>
      <sheetName val="2013-24 ES CT G Table D2LifeCCF"/>
      <sheetName val="2013-24 ES CT G Table D3 AnnCCF"/>
      <sheetName val="2013-24 ES CT G Table D4LifeCCF"/>
      <sheetName val="2013-24 ES CT G Table D5-Units"/>
      <sheetName val="2021 ES CT PMI"/>
      <sheetName val="2022 ES CT PMI"/>
      <sheetName val="2023 ES CT PMI"/>
      <sheetName val="2024 ES CT PMI "/>
      <sheetName val="2022 Joint Table A1 Pies (2)"/>
    </sheetNames>
    <sheetDataSet>
      <sheetData sheetId="0">
        <row r="13">
          <cell r="H13">
            <v>822507.64</v>
          </cell>
        </row>
        <row r="52">
          <cell r="O52">
            <v>25794227.243734583</v>
          </cell>
        </row>
        <row r="53">
          <cell r="O53">
            <v>13504383.894445077</v>
          </cell>
        </row>
        <row r="54">
          <cell r="O54">
            <v>5579368.5956933098</v>
          </cell>
        </row>
        <row r="55">
          <cell r="L55">
            <v>17880930.993858557</v>
          </cell>
          <cell r="M55">
            <v>14816121.033924829</v>
          </cell>
          <cell r="N55">
            <v>12180927.706089582</v>
          </cell>
        </row>
      </sheetData>
      <sheetData sheetId="1"/>
      <sheetData sheetId="2"/>
      <sheetData sheetId="3"/>
      <sheetData sheetId="4"/>
      <sheetData sheetId="5"/>
      <sheetData sheetId="6"/>
      <sheetData sheetId="7"/>
      <sheetData sheetId="8"/>
      <sheetData sheetId="9"/>
      <sheetData sheetId="10">
        <row r="30">
          <cell r="C30">
            <v>3437535.6548393928</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2 Joint Table A1 Pies -Gas"/>
      <sheetName val="2023 Joint Table A1 Pies - Gas"/>
      <sheetName val="2024 Joint Table A1 Pies - Gas"/>
      <sheetName val="2022 Joint Table A1 Pies - Elec"/>
      <sheetName val="2023 Joint Table A1 Pies - Elec"/>
      <sheetName val="2024 Joint Table A1 Pies -Elec "/>
    </sheetNames>
    <sheetDataSet>
      <sheetData sheetId="0">
        <row r="30">
          <cell r="B30" t="str">
            <v>Res. Income-Eligible</v>
          </cell>
          <cell r="F30">
            <v>0.26024173923760957</v>
          </cell>
          <cell r="G30">
            <v>0.12348029999999999</v>
          </cell>
        </row>
        <row r="31">
          <cell r="B31" t="str">
            <v>Res. Non Income-Eligible</v>
          </cell>
          <cell r="F31">
            <v>0.39612311683932178</v>
          </cell>
          <cell r="G31">
            <v>0.35332329000000001</v>
          </cell>
        </row>
        <row r="34">
          <cell r="B34" t="str">
            <v>Commercial and Industrial</v>
          </cell>
          <cell r="F34">
            <v>0.34363514392306865</v>
          </cell>
          <cell r="G34">
            <v>0.52319640999999995</v>
          </cell>
        </row>
        <row r="35">
          <cell r="B35" t="str">
            <v>C&amp;I Q1</v>
          </cell>
          <cell r="F35">
            <v>8.5908785980767163E-2</v>
          </cell>
          <cell r="G35">
            <v>0.13079910249999999</v>
          </cell>
        </row>
        <row r="36">
          <cell r="B36" t="str">
            <v>C&amp;I Q2</v>
          </cell>
          <cell r="F36">
            <v>8.5908785980767163E-2</v>
          </cell>
          <cell r="G36">
            <v>0.13079910249999999</v>
          </cell>
        </row>
        <row r="37">
          <cell r="B37" t="str">
            <v>C&amp;I Q3</v>
          </cell>
          <cell r="F37">
            <v>8.5908785980767163E-2</v>
          </cell>
          <cell r="G37">
            <v>0.13079910249999999</v>
          </cell>
        </row>
        <row r="38">
          <cell r="B38" t="str">
            <v>C&amp;I Q4</v>
          </cell>
          <cell r="F38">
            <v>8.5908785980767163E-2</v>
          </cell>
          <cell r="G38">
            <v>0.13079910249999999</v>
          </cell>
        </row>
      </sheetData>
      <sheetData sheetId="1">
        <row r="30">
          <cell r="B30" t="str">
            <v>Res. Income-Eligible</v>
          </cell>
          <cell r="F30">
            <v>0.24020751014651867</v>
          </cell>
          <cell r="G30">
            <v>0.1242495</v>
          </cell>
        </row>
        <row r="31">
          <cell r="B31" t="str">
            <v>Res. Non Income-Eligible</v>
          </cell>
          <cell r="F31">
            <v>0.39163546895422524</v>
          </cell>
          <cell r="G31">
            <v>0.34159914999999996</v>
          </cell>
        </row>
        <row r="34">
          <cell r="B34" t="str">
            <v>Commercial and Industrial</v>
          </cell>
          <cell r="F34">
            <v>0.36815702089925612</v>
          </cell>
          <cell r="G34">
            <v>0.53415135000000002</v>
          </cell>
        </row>
        <row r="35">
          <cell r="B35" t="str">
            <v>C&amp;I Q1</v>
          </cell>
          <cell r="F35">
            <v>9.2039255224814029E-2</v>
          </cell>
          <cell r="G35">
            <v>0.13353783750000001</v>
          </cell>
        </row>
        <row r="36">
          <cell r="B36" t="str">
            <v>C&amp;I Q2</v>
          </cell>
          <cell r="F36">
            <v>9.2039255224814029E-2</v>
          </cell>
          <cell r="G36">
            <v>0.13353783750000001</v>
          </cell>
        </row>
        <row r="37">
          <cell r="B37" t="str">
            <v>C&amp;I Q3</v>
          </cell>
          <cell r="F37">
            <v>9.2039255224814029E-2</v>
          </cell>
          <cell r="G37">
            <v>0.13353783750000001</v>
          </cell>
        </row>
        <row r="38">
          <cell r="B38" t="str">
            <v>C&amp;I Q4</v>
          </cell>
          <cell r="F38">
            <v>9.2039255224814029E-2</v>
          </cell>
          <cell r="G38">
            <v>0.13353783750000001</v>
          </cell>
        </row>
      </sheetData>
      <sheetData sheetId="2">
        <row r="30">
          <cell r="B30" t="str">
            <v>Res. Income-Eligible</v>
          </cell>
          <cell r="F30">
            <v>0.23973996640560333</v>
          </cell>
          <cell r="G30">
            <v>0.12428739999999999</v>
          </cell>
        </row>
        <row r="31">
          <cell r="B31" t="str">
            <v>Res. Non Income-Eligible</v>
          </cell>
          <cell r="F31">
            <v>0.39372621490541765</v>
          </cell>
          <cell r="G31">
            <v>0.34118231999999998</v>
          </cell>
        </row>
        <row r="34">
          <cell r="B34" t="str">
            <v>Commercial and Industrial</v>
          </cell>
          <cell r="F34">
            <v>0.36653381868897894</v>
          </cell>
          <cell r="G34">
            <v>0.53453028000000002</v>
          </cell>
        </row>
        <row r="35">
          <cell r="B35" t="str">
            <v>C&amp;I Q1</v>
          </cell>
          <cell r="F35">
            <v>9.1633454672244735E-2</v>
          </cell>
          <cell r="G35">
            <v>0.13363257000000001</v>
          </cell>
        </row>
        <row r="36">
          <cell r="B36" t="str">
            <v>C&amp;I Q2</v>
          </cell>
          <cell r="F36">
            <v>9.1633454672244735E-2</v>
          </cell>
          <cell r="G36">
            <v>0.13363257000000001</v>
          </cell>
        </row>
        <row r="37">
          <cell r="B37" t="str">
            <v>C&amp;I Q3</v>
          </cell>
          <cell r="F37">
            <v>9.1633454672244735E-2</v>
          </cell>
          <cell r="G37">
            <v>0.13363257000000001</v>
          </cell>
        </row>
        <row r="38">
          <cell r="B38" t="str">
            <v>C&amp;I Q4</v>
          </cell>
          <cell r="F38">
            <v>9.1633454672244735E-2</v>
          </cell>
          <cell r="G38">
            <v>0.13363257000000001</v>
          </cell>
        </row>
      </sheetData>
      <sheetData sheetId="3"/>
      <sheetData sheetId="4"/>
      <sheetData sheetId="5"/>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B"/>
      <sheetName val="Input Assumptions"/>
      <sheetName val="Appendix B"/>
      <sheetName val="Appendix C"/>
      <sheetName val="Appendix D"/>
      <sheetName val="Avoided Costs 2021"/>
      <sheetName val="Benefits Table"/>
      <sheetName val="Budgets"/>
      <sheetName val="Input Sheet"/>
      <sheetName val="Savings and Costs"/>
      <sheetName val="$ Calcs"/>
      <sheetName val="Eversource Elect_Table_B"/>
      <sheetName val=" Eversource Gas_Table B"/>
      <sheetName val="Goals Break Down"/>
      <sheetName val="UI Table B"/>
      <sheetName val="UI_Table_B"/>
      <sheetName val="CNG Table B"/>
      <sheetName val="SCG Table B"/>
      <sheetName val="Statewide Tables"/>
      <sheetName val="Comparison"/>
    </sheetNames>
    <sheetDataSet>
      <sheetData sheetId="0"/>
      <sheetData sheetId="1"/>
      <sheetData sheetId="2"/>
      <sheetData sheetId="3"/>
      <sheetData sheetId="4"/>
      <sheetData sheetId="5"/>
      <sheetData sheetId="6"/>
      <sheetData sheetId="7"/>
      <sheetData sheetId="8"/>
      <sheetData sheetId="9"/>
      <sheetData sheetId="10"/>
      <sheetData sheetId="11">
        <row r="34">
          <cell r="U34">
            <v>87081.629684020343</v>
          </cell>
        </row>
      </sheetData>
      <sheetData sheetId="12">
        <row r="8">
          <cell r="K8">
            <v>253.59419501684334</v>
          </cell>
          <cell r="M8">
            <v>89499.343121939324</v>
          </cell>
          <cell r="N8">
            <v>2237483.578048483</v>
          </cell>
        </row>
        <row r="9">
          <cell r="K9">
            <v>1673.6362954689409</v>
          </cell>
          <cell r="M9">
            <v>103230.19473276936</v>
          </cell>
          <cell r="N9">
            <v>2112233.9137701471</v>
          </cell>
        </row>
        <row r="10">
          <cell r="K10">
            <v>13567.495099810723</v>
          </cell>
          <cell r="M10">
            <v>433103.32850833371</v>
          </cell>
          <cell r="N10">
            <v>8134612.3425008366</v>
          </cell>
        </row>
        <row r="11">
          <cell r="K11">
            <v>3535.0120261277721</v>
          </cell>
          <cell r="M11">
            <v>141243.40997267934</v>
          </cell>
          <cell r="N11">
            <v>2797801.2933168081</v>
          </cell>
        </row>
        <row r="12">
          <cell r="K12">
            <v>22000</v>
          </cell>
          <cell r="M12">
            <v>9218</v>
          </cell>
          <cell r="N12">
            <v>9218</v>
          </cell>
        </row>
        <row r="13">
          <cell r="E13">
            <v>12178.903492742276</v>
          </cell>
        </row>
        <row r="15">
          <cell r="K15">
            <v>20.678152882027629</v>
          </cell>
          <cell r="M15">
            <v>382216.80365584226</v>
          </cell>
          <cell r="N15">
            <v>5791866.2164351977</v>
          </cell>
        </row>
        <row r="16">
          <cell r="K16">
            <v>58.604570598173559</v>
          </cell>
          <cell r="M16">
            <v>184451.42963854549</v>
          </cell>
          <cell r="N16">
            <v>1872117.7518702147</v>
          </cell>
        </row>
        <row r="17">
          <cell r="K17">
            <v>11.471735029146988</v>
          </cell>
          <cell r="M17">
            <v>129383.47017249354</v>
          </cell>
          <cell r="N17">
            <v>994218.80876266269</v>
          </cell>
        </row>
        <row r="18">
          <cell r="K18">
            <v>302.85794833929469</v>
          </cell>
          <cell r="M18">
            <v>56973.736771722964</v>
          </cell>
          <cell r="N18">
            <v>682359.87063807726</v>
          </cell>
        </row>
        <row r="19">
          <cell r="E19">
            <v>6577.6510425018296</v>
          </cell>
        </row>
        <row r="32">
          <cell r="K32">
            <v>152.52285802487646</v>
          </cell>
          <cell r="M32">
            <v>60707.988383136151</v>
          </cell>
          <cell r="N32">
            <v>1517699.709578404</v>
          </cell>
        </row>
        <row r="33">
          <cell r="K33">
            <v>3659.051268285938</v>
          </cell>
          <cell r="M33">
            <v>166878.16982596513</v>
          </cell>
          <cell r="N33">
            <v>3330248.6125423266</v>
          </cell>
        </row>
        <row r="34">
          <cell r="K34">
            <v>33581.984025012425</v>
          </cell>
          <cell r="M34">
            <v>588569.70829505636</v>
          </cell>
          <cell r="N34">
            <v>9959488.5928341672</v>
          </cell>
        </row>
        <row r="35">
          <cell r="K35">
            <v>5585.7190428729791</v>
          </cell>
          <cell r="M35">
            <v>202875.95814940636</v>
          </cell>
          <cell r="N35">
            <v>3968810.318806516</v>
          </cell>
        </row>
        <row r="36">
          <cell r="K36">
            <v>22000</v>
          </cell>
          <cell r="M36">
            <v>9218</v>
          </cell>
          <cell r="N36">
            <v>18436</v>
          </cell>
        </row>
        <row r="37">
          <cell r="F37">
            <v>29332.696672007864</v>
          </cell>
        </row>
        <row r="39">
          <cell r="K39">
            <v>23.084451232140808</v>
          </cell>
          <cell r="M39">
            <v>408482.74473552458</v>
          </cell>
          <cell r="N39">
            <v>6253392.2151628137</v>
          </cell>
        </row>
        <row r="40">
          <cell r="K40">
            <v>192.38532123112947</v>
          </cell>
          <cell r="M40">
            <v>605511.60396453075</v>
          </cell>
          <cell r="N40">
            <v>6145731.8328559855</v>
          </cell>
        </row>
        <row r="41">
          <cell r="K41">
            <v>21.778087422704644</v>
          </cell>
          <cell r="M41">
            <v>245623.2224079693</v>
          </cell>
          <cell r="N41">
            <v>1887437.6090031206</v>
          </cell>
        </row>
        <row r="42">
          <cell r="K42">
            <v>155.4197493736568</v>
          </cell>
          <cell r="M42">
            <v>91784.276395300505</v>
          </cell>
          <cell r="N42">
            <v>1464279.386213399</v>
          </cell>
        </row>
        <row r="43">
          <cell r="F43">
            <v>23438.948287362018</v>
          </cell>
        </row>
        <row r="55">
          <cell r="K55">
            <v>5.9173576067250799</v>
          </cell>
          <cell r="M55">
            <v>2355.2592804767532</v>
          </cell>
          <cell r="N55">
            <v>58881.482011918823</v>
          </cell>
        </row>
        <row r="56">
          <cell r="K56">
            <v>4426.1616464321196</v>
          </cell>
          <cell r="M56">
            <v>193423.29859109435</v>
          </cell>
          <cell r="N56">
            <v>3848874.9130558246</v>
          </cell>
        </row>
        <row r="57">
          <cell r="K57">
            <v>31931.234370940627</v>
          </cell>
          <cell r="M57">
            <v>589125.10589930927</v>
          </cell>
          <cell r="N57">
            <v>10059662.232513005</v>
          </cell>
        </row>
        <row r="58">
          <cell r="K58">
            <v>5720.9918927419494</v>
          </cell>
          <cell r="M58">
            <v>207789.13205201871</v>
          </cell>
          <cell r="N58">
            <v>4064925.4793245425</v>
          </cell>
        </row>
        <row r="59">
          <cell r="K59">
            <v>22000</v>
          </cell>
          <cell r="M59">
            <v>9218</v>
          </cell>
          <cell r="N59">
            <v>18436</v>
          </cell>
        </row>
        <row r="60">
          <cell r="F60">
            <v>28527.229610672661</v>
          </cell>
        </row>
        <row r="62">
          <cell r="K62">
            <v>23.462305865843099</v>
          </cell>
          <cell r="M62">
            <v>410214.46572667034</v>
          </cell>
          <cell r="N62">
            <v>6281432.9158742223</v>
          </cell>
        </row>
        <row r="63">
          <cell r="K63">
            <v>188.85659669338136</v>
          </cell>
          <cell r="M63">
            <v>594405.33223273943</v>
          </cell>
          <cell r="N63">
            <v>6033007.0439675199</v>
          </cell>
        </row>
        <row r="64">
          <cell r="K64">
            <v>21.658574766845796</v>
          </cell>
          <cell r="M64">
            <v>244275.30405862979</v>
          </cell>
          <cell r="N64">
            <v>1877079.8270252293</v>
          </cell>
        </row>
        <row r="65">
          <cell r="K65">
            <v>158.79958185036381</v>
          </cell>
          <cell r="M65">
            <v>93780.26132940354</v>
          </cell>
          <cell r="N65">
            <v>1496122.3086504845</v>
          </cell>
        </row>
        <row r="66">
          <cell r="F66">
            <v>23656.820336676588</v>
          </cell>
        </row>
      </sheetData>
      <sheetData sheetId="13"/>
      <sheetData sheetId="14"/>
      <sheetData sheetId="15"/>
      <sheetData sheetId="16"/>
      <sheetData sheetId="17"/>
      <sheetData sheetId="18"/>
      <sheetData sheetId="19"/>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Assumptions"/>
      <sheetName val="Appendix B"/>
      <sheetName val="Appendix C"/>
      <sheetName val="Appendix D"/>
      <sheetName val="Avoided Costs 2018"/>
      <sheetName val="Avoided Costs 2019"/>
      <sheetName val="Budgets"/>
      <sheetName val="Input Sheet"/>
      <sheetName val="$ Calcs"/>
      <sheetName val="Benefits Table"/>
      <sheetName val="Savings and Costs"/>
      <sheetName val="EE_Table_B"/>
      <sheetName val="EG_Table_B"/>
      <sheetName val="UI Table B"/>
      <sheetName val="CNG Table B"/>
      <sheetName val="SCG Table B"/>
      <sheetName val="Statewide Tables"/>
      <sheetName val="Cost rates comparison"/>
      <sheetName val="Savings comp"/>
      <sheetName val="Updates"/>
      <sheetName val="NEB and EB rates"/>
    </sheetNames>
    <sheetDataSet>
      <sheetData sheetId="0"/>
      <sheetData sheetId="1"/>
      <sheetData sheetId="2"/>
      <sheetData sheetId="3"/>
      <sheetData sheetId="4"/>
      <sheetData sheetId="5"/>
      <sheetData sheetId="6"/>
      <sheetData sheetId="7"/>
      <sheetData sheetId="8"/>
      <sheetData sheetId="9"/>
      <sheetData sheetId="10"/>
      <sheetData sheetId="11">
        <row r="33">
          <cell r="K33">
            <v>2700950.102607829</v>
          </cell>
        </row>
      </sheetData>
      <sheetData sheetId="12">
        <row r="32">
          <cell r="K32">
            <v>624.59199440310385</v>
          </cell>
        </row>
        <row r="36">
          <cell r="K36"/>
          <cell r="M36"/>
          <cell r="N36"/>
        </row>
      </sheetData>
      <sheetData sheetId="13">
        <row r="33">
          <cell r="M33">
            <v>7479</v>
          </cell>
        </row>
      </sheetData>
      <sheetData sheetId="14">
        <row r="32">
          <cell r="M32">
            <v>121005.79363381995</v>
          </cell>
        </row>
      </sheetData>
      <sheetData sheetId="15">
        <row r="32">
          <cell r="M32">
            <v>118764.18101784967</v>
          </cell>
        </row>
      </sheetData>
      <sheetData sheetId="16"/>
      <sheetData sheetId="17"/>
      <sheetData sheetId="18"/>
      <sheetData sheetId="19"/>
      <sheetData sheetId="20"/>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6 AC"/>
      <sheetName val="Appendix B Electric"/>
      <sheetName val="Appendix C Gas"/>
      <sheetName val="Appendix D Fossil"/>
      <sheetName val="2015 dollars Avoided Costs"/>
      <sheetName val="Summary"/>
      <sheetName val="Emissions"/>
      <sheetName val="2015 Inputs"/>
      <sheetName val="2016 Budgets"/>
      <sheetName val="2017 Budgets"/>
      <sheetName val="2018 Budgets"/>
      <sheetName val="Inputs"/>
      <sheetName val="Sheet1"/>
      <sheetName val="Resource"/>
      <sheetName val="2016 Electric B-1"/>
      <sheetName val="2016 Gas B-1"/>
      <sheetName val="2017 Electric B-1"/>
      <sheetName val="2017 Gas B-1"/>
      <sheetName val="2018 Electric B-1"/>
      <sheetName val="2018 Gas B-1"/>
      <sheetName val="Resource Summary B-2"/>
      <sheetName val="Resource Summary B-2 Mar"/>
      <sheetName val="Benefits Summary B-3"/>
      <sheetName val="$Benefits"/>
      <sheetName val="Benefits Summary B-3 Mar"/>
      <sheetName val="2016 Combined"/>
      <sheetName val="2017 Combined"/>
      <sheetName val="2016 ES Statewide B-4"/>
      <sheetName val="2017 ES Statewide B-4"/>
      <sheetName val="2018 ES Statewide B-4"/>
      <sheetName val="2016 UI Statewide B-4"/>
      <sheetName val="2017 UI Statewide B-4"/>
      <sheetName val="2018 UI Statewide B-4"/>
      <sheetName val="2018 Combined"/>
      <sheetName val="Statewide Summary"/>
      <sheetName val="Resi Break Down"/>
      <sheetName val="Retail Products"/>
      <sheetName val="Retail Products Data"/>
      <sheetName val="HES"/>
      <sheetName val="Sheet4"/>
      <sheetName val="HES Data"/>
      <sheetName val="HES HVAC"/>
      <sheetName val="HES HVAC Data"/>
      <sheetName val="HES IE"/>
      <sheetName val="HES IE Data"/>
      <sheetName val="RNC"/>
      <sheetName val="RNC Data"/>
      <sheetName val="Behavior"/>
      <sheetName val="Behavior Data"/>
      <sheetName val="ECB"/>
      <sheetName val="EO"/>
      <sheetName val="Small B"/>
      <sheetName val="BES-Prime"/>
      <sheetName val="VKA"/>
      <sheetName val="EB and NEB"/>
      <sheetName val="Sheet2"/>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134">
          <cell r="I134">
            <v>49</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Assumptions"/>
      <sheetName val="Appendix B"/>
      <sheetName val="Appendix C"/>
      <sheetName val="Appendix D"/>
      <sheetName val="Avoided Costs 2018"/>
      <sheetName val="Avoided Costs 2019"/>
      <sheetName val="Budgets"/>
      <sheetName val="Input Sheet"/>
      <sheetName val="$ Calcs"/>
      <sheetName val="Benefits Table"/>
      <sheetName val="Sheet1"/>
      <sheetName val="Savings and Costs"/>
      <sheetName val="EE_Table_B"/>
      <sheetName val="EG_Table_B"/>
      <sheetName val="UI Table B"/>
      <sheetName val="CNG Table B"/>
      <sheetName val="SCG Table B"/>
      <sheetName val="Statewide Tables"/>
      <sheetName val="Cost rates comparison"/>
      <sheetName val="Savings comp"/>
      <sheetName val="Updates"/>
      <sheetName val="NEB and EB rates"/>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33">
          <cell r="M33">
            <v>27940.918604205748</v>
          </cell>
        </row>
      </sheetData>
      <sheetData sheetId="13">
        <row r="32">
          <cell r="M32">
            <v>159795.61584809009</v>
          </cell>
        </row>
        <row r="59">
          <cell r="M59">
            <v>237454.57562697001</v>
          </cell>
        </row>
        <row r="61">
          <cell r="AW61">
            <v>15818331.489203889</v>
          </cell>
        </row>
        <row r="67">
          <cell r="AW67">
            <v>14158001.875425743</v>
          </cell>
        </row>
      </sheetData>
      <sheetData sheetId="14">
        <row r="33">
          <cell r="M33">
            <v>7478.8336831956458</v>
          </cell>
        </row>
      </sheetData>
      <sheetData sheetId="15">
        <row r="32">
          <cell r="M32">
            <v>121005.79363381995</v>
          </cell>
        </row>
      </sheetData>
      <sheetData sheetId="16">
        <row r="32">
          <cell r="M32">
            <v>118764.18101784967</v>
          </cell>
        </row>
      </sheetData>
      <sheetData sheetId="17"/>
      <sheetData sheetId="18"/>
      <sheetData sheetId="19"/>
      <sheetData sheetId="20"/>
      <sheetData sheetId="2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ttachment EL-17-1 Page 1 of 2"/>
      <sheetName val="Attachment EL-17-1 Page 2 of 2"/>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amp;P Summary YTD"/>
      <sheetName val="Committed Data Table"/>
      <sheetName val="EB $"/>
      <sheetName val="ResiOtherMet Monthly Target$"/>
      <sheetName val="C&amp;I Monthly Target$"/>
      <sheetName val="Monthly Goal Report"/>
      <sheetName val="Expended &amp; Committed Report"/>
      <sheetName val="YTD 200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2016 - 2018 Combined Table A1"/>
      <sheetName val=" 2015 - 2018 Comb Revenues A2"/>
      <sheetName val="2015 Joint Table A1 Pies"/>
      <sheetName val="2016 Joint Table A1 Pies"/>
      <sheetName val="2017 Joint Table A1 Pies"/>
      <sheetName val="2018 Joint Table A1 Pies"/>
      <sheetName val="ES CT Electric Table A  "/>
      <sheetName val="ES CT Electric 2015 Table A Pie"/>
      <sheetName val="ES CT Electric 2016 Table A Pie"/>
      <sheetName val="ES CT Electric 2017 Table A Pie"/>
      <sheetName val="ES CT Electric 2018 Table A Pie"/>
      <sheetName val="ES CT Electric Table C 2016"/>
      <sheetName val="ES CT Electric Table C 2017"/>
      <sheetName val="ES CT Electric Table C 2018"/>
      <sheetName val="ES CT Electric 2016 Table C Pie"/>
      <sheetName val="ES CT Electric 2017 Table C Pie"/>
      <sheetName val="ES CT Electric 2018 Table C Pie"/>
      <sheetName val="2009-18 ES CT E Table D-$"/>
      <sheetName val="2009-18 ES CT E Table D1-kW"/>
      <sheetName val="2009-18 ESCTETable D2-annualkWh"/>
      <sheetName val="2009-15 ESCTETable D3-lftimekWh"/>
      <sheetName val="2009-15 Table D4 Units "/>
      <sheetName val="2009-18 ES CT E Table D5-kW"/>
      <sheetName val="2009-18 ESCTETable D6-annualkWh"/>
      <sheetName val="2009-15 ESCTETable D7-lftimekWh"/>
      <sheetName val="2016  ES CT  PMI"/>
      <sheetName val="2017  ES CT  PMI"/>
      <sheetName val="2018  ES CT  PMI"/>
      <sheetName val="2016 ES CT E Perf. Incentives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Page"/>
    </sheetNames>
    <sheetDataSet>
      <sheetData sheetId="0" refreshError="1">
        <row r="33">
          <cell r="B33" t="str">
            <v>Energy Star Clothes Washers</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Page"/>
    </sheetNames>
    <sheetDataSet>
      <sheetData sheetId="0" refreshError="1">
        <row r="33">
          <cell r="B33" t="str">
            <v>Energy Star Clothes Washers</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1(A)"/>
      <sheetName val="Exhibit 1(B)"/>
      <sheetName val="Exhibit 1(C)"/>
      <sheetName val="Exhibit 1(D)"/>
      <sheetName val="Rate Base"/>
      <sheetName val="Operating Income"/>
      <sheetName val="R1"/>
      <sheetName val="R2"/>
      <sheetName val="R3"/>
      <sheetName val="R4"/>
      <sheetName val="R5"/>
      <sheetName val="R6"/>
      <sheetName val="R7"/>
      <sheetName val="R8"/>
      <sheetName val="R9"/>
      <sheetName val="R10"/>
      <sheetName val="R11"/>
      <sheetName val="R12"/>
      <sheetName val="R13"/>
      <sheetName val="R14"/>
      <sheetName val="R15"/>
      <sheetName val="R16"/>
      <sheetName val="R 17"/>
      <sheetName val="Common Equity"/>
      <sheetName val="Cost of Debt"/>
      <sheetName val="Schedule C-2"/>
      <sheetName val="WP C-2A"/>
      <sheetName val="WP C-2B"/>
      <sheetName val="WP C-2C"/>
      <sheetName val="WP C-2D"/>
      <sheetName val="WP C-2E"/>
      <sheetName val="Schedule C-3"/>
      <sheetName val="Schedule D-1"/>
      <sheetName val="Schedule D-2"/>
      <sheetName val="ROR"/>
      <sheetName val="Dialog1"/>
      <sheetName val="Module1"/>
      <sheetName val="ACCESS_DATA"/>
      <sheetName val="TEMPLAT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2">
          <cell r="A2" t="str">
            <v>AC101</v>
          </cell>
          <cell r="B2">
            <v>595867</v>
          </cell>
          <cell r="C2">
            <v>596000</v>
          </cell>
          <cell r="D2">
            <v>572412</v>
          </cell>
          <cell r="E2">
            <v>572702</v>
          </cell>
          <cell r="F2">
            <v>576582</v>
          </cell>
          <cell r="G2">
            <v>0</v>
          </cell>
          <cell r="H2">
            <v>0</v>
          </cell>
          <cell r="I2">
            <v>0</v>
          </cell>
          <cell r="J2">
            <v>0</v>
          </cell>
          <cell r="K2">
            <v>0</v>
          </cell>
          <cell r="L2">
            <v>0</v>
          </cell>
          <cell r="M2">
            <v>0</v>
          </cell>
          <cell r="N2">
            <v>0</v>
          </cell>
          <cell r="O2">
            <v>37986</v>
          </cell>
        </row>
        <row r="3">
          <cell r="A3" t="str">
            <v>AC106</v>
          </cell>
          <cell r="B3">
            <v>112753</v>
          </cell>
          <cell r="C3">
            <v>100764</v>
          </cell>
          <cell r="D3">
            <v>118209</v>
          </cell>
          <cell r="E3">
            <v>105987</v>
          </cell>
          <cell r="F3">
            <v>90023</v>
          </cell>
          <cell r="G3">
            <v>0</v>
          </cell>
          <cell r="H3">
            <v>0</v>
          </cell>
          <cell r="I3">
            <v>0</v>
          </cell>
          <cell r="J3">
            <v>0</v>
          </cell>
          <cell r="K3">
            <v>0</v>
          </cell>
          <cell r="L3">
            <v>0</v>
          </cell>
          <cell r="M3">
            <v>0</v>
          </cell>
          <cell r="N3">
            <v>0</v>
          </cell>
          <cell r="O3">
            <v>37986</v>
          </cell>
        </row>
        <row r="4">
          <cell r="A4" t="str">
            <v>AC108</v>
          </cell>
          <cell r="B4">
            <v>-290639</v>
          </cell>
          <cell r="C4">
            <v>-287289</v>
          </cell>
          <cell r="D4">
            <v>-283891</v>
          </cell>
          <cell r="E4">
            <v>-281572</v>
          </cell>
          <cell r="F4">
            <v>-280592</v>
          </cell>
          <cell r="G4">
            <v>0</v>
          </cell>
          <cell r="H4">
            <v>0</v>
          </cell>
          <cell r="I4">
            <v>0</v>
          </cell>
          <cell r="J4">
            <v>0</v>
          </cell>
          <cell r="K4">
            <v>0</v>
          </cell>
          <cell r="L4">
            <v>0</v>
          </cell>
          <cell r="M4">
            <v>0</v>
          </cell>
          <cell r="N4">
            <v>0</v>
          </cell>
          <cell r="O4">
            <v>37986</v>
          </cell>
        </row>
        <row r="5">
          <cell r="A5" t="str">
            <v>AC14404</v>
          </cell>
          <cell r="B5">
            <v>-50</v>
          </cell>
          <cell r="C5">
            <v>-50</v>
          </cell>
          <cell r="D5">
            <v>0</v>
          </cell>
          <cell r="E5">
            <v>37</v>
          </cell>
          <cell r="F5">
            <v>35</v>
          </cell>
          <cell r="G5">
            <v>0</v>
          </cell>
          <cell r="H5">
            <v>0</v>
          </cell>
          <cell r="I5">
            <v>0</v>
          </cell>
          <cell r="J5">
            <v>0</v>
          </cell>
          <cell r="K5">
            <v>0</v>
          </cell>
          <cell r="L5">
            <v>0</v>
          </cell>
          <cell r="M5">
            <v>0</v>
          </cell>
          <cell r="N5">
            <v>0</v>
          </cell>
          <cell r="O5">
            <v>37986</v>
          </cell>
        </row>
        <row r="6">
          <cell r="A6" t="str">
            <v>AC14411</v>
          </cell>
          <cell r="B6">
            <v>-5679</v>
          </cell>
          <cell r="C6">
            <v>-6177</v>
          </cell>
          <cell r="D6">
            <v>-7055</v>
          </cell>
          <cell r="E6">
            <v>-5164</v>
          </cell>
          <cell r="F6">
            <v>-7684</v>
          </cell>
          <cell r="G6">
            <v>0</v>
          </cell>
          <cell r="H6">
            <v>0</v>
          </cell>
          <cell r="I6">
            <v>0</v>
          </cell>
          <cell r="J6">
            <v>0</v>
          </cell>
          <cell r="K6">
            <v>0</v>
          </cell>
          <cell r="L6">
            <v>0</v>
          </cell>
          <cell r="M6">
            <v>0</v>
          </cell>
          <cell r="N6">
            <v>0</v>
          </cell>
          <cell r="O6">
            <v>37986</v>
          </cell>
        </row>
        <row r="7">
          <cell r="A7" t="str">
            <v>AC151</v>
          </cell>
          <cell r="B7">
            <v>37397</v>
          </cell>
          <cell r="C7">
            <v>34098</v>
          </cell>
          <cell r="D7">
            <v>29898</v>
          </cell>
          <cell r="E7">
            <v>24204</v>
          </cell>
          <cell r="F7">
            <v>17788</v>
          </cell>
          <cell r="G7">
            <v>11885</v>
          </cell>
          <cell r="H7">
            <v>7058</v>
          </cell>
          <cell r="I7">
            <v>6701</v>
          </cell>
          <cell r="J7">
            <v>10519</v>
          </cell>
          <cell r="K7">
            <v>14469</v>
          </cell>
          <cell r="L7">
            <v>17670</v>
          </cell>
          <cell r="M7">
            <v>17769</v>
          </cell>
          <cell r="N7">
            <v>17457</v>
          </cell>
          <cell r="O7">
            <v>37986</v>
          </cell>
        </row>
        <row r="8">
          <cell r="A8" t="str">
            <v>AC152</v>
          </cell>
          <cell r="B8">
            <v>6</v>
          </cell>
          <cell r="C8">
            <v>6</v>
          </cell>
          <cell r="D8">
            <v>6</v>
          </cell>
          <cell r="E8">
            <v>6</v>
          </cell>
          <cell r="F8">
            <v>6</v>
          </cell>
          <cell r="G8">
            <v>6</v>
          </cell>
          <cell r="H8">
            <v>6</v>
          </cell>
          <cell r="I8">
            <v>5</v>
          </cell>
          <cell r="J8">
            <v>5</v>
          </cell>
          <cell r="K8">
            <v>5</v>
          </cell>
          <cell r="L8">
            <v>5</v>
          </cell>
          <cell r="M8">
            <v>5</v>
          </cell>
          <cell r="N8">
            <v>5</v>
          </cell>
          <cell r="O8">
            <v>37986</v>
          </cell>
        </row>
        <row r="9">
          <cell r="A9" t="str">
            <v>AC16501</v>
          </cell>
          <cell r="B9">
            <v>213</v>
          </cell>
          <cell r="C9">
            <v>361</v>
          </cell>
          <cell r="D9">
            <v>299</v>
          </cell>
          <cell r="E9">
            <v>469</v>
          </cell>
          <cell r="F9">
            <v>266</v>
          </cell>
          <cell r="G9">
            <v>0</v>
          </cell>
          <cell r="H9">
            <v>0</v>
          </cell>
          <cell r="I9">
            <v>0</v>
          </cell>
          <cell r="J9">
            <v>0</v>
          </cell>
          <cell r="K9">
            <v>0</v>
          </cell>
          <cell r="L9">
            <v>0</v>
          </cell>
          <cell r="M9">
            <v>0</v>
          </cell>
          <cell r="N9">
            <v>0</v>
          </cell>
          <cell r="O9">
            <v>37986</v>
          </cell>
        </row>
        <row r="10">
          <cell r="A10" t="str">
            <v>AC16507</v>
          </cell>
          <cell r="B10">
            <v>0</v>
          </cell>
          <cell r="C10">
            <v>0</v>
          </cell>
          <cell r="D10">
            <v>0</v>
          </cell>
          <cell r="E10">
            <v>0</v>
          </cell>
          <cell r="F10">
            <v>0</v>
          </cell>
          <cell r="G10">
            <v>0</v>
          </cell>
          <cell r="H10">
            <v>0</v>
          </cell>
          <cell r="I10">
            <v>0</v>
          </cell>
          <cell r="J10">
            <v>0</v>
          </cell>
          <cell r="K10">
            <v>0</v>
          </cell>
          <cell r="L10">
            <v>0</v>
          </cell>
          <cell r="M10">
            <v>0</v>
          </cell>
          <cell r="N10">
            <v>0</v>
          </cell>
          <cell r="O10">
            <v>37986</v>
          </cell>
        </row>
        <row r="11">
          <cell r="A11" t="str">
            <v>AC16596</v>
          </cell>
          <cell r="B11">
            <v>32</v>
          </cell>
          <cell r="C11">
            <v>348</v>
          </cell>
          <cell r="D11">
            <v>348</v>
          </cell>
          <cell r="E11">
            <v>348</v>
          </cell>
          <cell r="F11">
            <v>497</v>
          </cell>
          <cell r="G11">
            <v>0</v>
          </cell>
          <cell r="H11">
            <v>0</v>
          </cell>
          <cell r="I11">
            <v>0</v>
          </cell>
          <cell r="J11">
            <v>0</v>
          </cell>
          <cell r="K11">
            <v>0</v>
          </cell>
          <cell r="L11">
            <v>0</v>
          </cell>
          <cell r="M11">
            <v>0</v>
          </cell>
          <cell r="N11">
            <v>0</v>
          </cell>
          <cell r="O11">
            <v>37986</v>
          </cell>
        </row>
        <row r="12">
          <cell r="A12" t="str">
            <v>AC165XX</v>
          </cell>
          <cell r="B12">
            <v>0</v>
          </cell>
          <cell r="C12">
            <v>0</v>
          </cell>
          <cell r="D12">
            <v>0</v>
          </cell>
          <cell r="E12">
            <v>0</v>
          </cell>
          <cell r="F12">
            <v>0</v>
          </cell>
          <cell r="G12">
            <v>0</v>
          </cell>
          <cell r="H12">
            <v>0</v>
          </cell>
          <cell r="I12">
            <v>0</v>
          </cell>
          <cell r="J12">
            <v>0</v>
          </cell>
          <cell r="K12">
            <v>0</v>
          </cell>
          <cell r="L12">
            <v>0</v>
          </cell>
          <cell r="M12">
            <v>0</v>
          </cell>
          <cell r="N12">
            <v>0</v>
          </cell>
          <cell r="O12">
            <v>37986</v>
          </cell>
        </row>
        <row r="13">
          <cell r="A13" t="str">
            <v>AC18103</v>
          </cell>
          <cell r="B13">
            <v>0</v>
          </cell>
          <cell r="C13">
            <v>0</v>
          </cell>
          <cell r="D13">
            <v>0</v>
          </cell>
          <cell r="E13">
            <v>0</v>
          </cell>
          <cell r="F13">
            <v>0</v>
          </cell>
          <cell r="G13">
            <v>0</v>
          </cell>
          <cell r="H13">
            <v>0</v>
          </cell>
          <cell r="I13">
            <v>0</v>
          </cell>
          <cell r="J13">
            <v>0</v>
          </cell>
          <cell r="K13">
            <v>0</v>
          </cell>
          <cell r="L13">
            <v>0</v>
          </cell>
          <cell r="M13">
            <v>0</v>
          </cell>
          <cell r="N13">
            <v>0</v>
          </cell>
          <cell r="O13">
            <v>37986</v>
          </cell>
        </row>
        <row r="14">
          <cell r="A14" t="str">
            <v>AC18104</v>
          </cell>
          <cell r="B14">
            <v>161811</v>
          </cell>
          <cell r="C14">
            <v>164263</v>
          </cell>
          <cell r="D14">
            <v>166715</v>
          </cell>
          <cell r="E14">
            <v>169166</v>
          </cell>
          <cell r="F14">
            <v>171618</v>
          </cell>
          <cell r="G14">
            <v>174070</v>
          </cell>
          <cell r="H14">
            <v>176521</v>
          </cell>
          <cell r="I14">
            <v>178973</v>
          </cell>
          <cell r="J14">
            <v>181425</v>
          </cell>
          <cell r="K14">
            <v>183876</v>
          </cell>
          <cell r="L14">
            <v>186328</v>
          </cell>
          <cell r="M14">
            <v>188780</v>
          </cell>
          <cell r="N14">
            <v>191231</v>
          </cell>
          <cell r="O14">
            <v>37986</v>
          </cell>
        </row>
        <row r="15">
          <cell r="A15" t="str">
            <v>AC18105</v>
          </cell>
          <cell r="B15">
            <v>41978</v>
          </cell>
          <cell r="C15">
            <v>42199</v>
          </cell>
          <cell r="D15">
            <v>42420</v>
          </cell>
          <cell r="E15">
            <v>42641</v>
          </cell>
          <cell r="F15">
            <v>42862</v>
          </cell>
          <cell r="G15">
            <v>43083</v>
          </cell>
          <cell r="H15">
            <v>43304</v>
          </cell>
          <cell r="I15">
            <v>43524</v>
          </cell>
          <cell r="J15">
            <v>43745</v>
          </cell>
          <cell r="K15">
            <v>43966</v>
          </cell>
          <cell r="L15">
            <v>44187</v>
          </cell>
          <cell r="M15">
            <v>44408</v>
          </cell>
          <cell r="N15">
            <v>44629</v>
          </cell>
          <cell r="O15">
            <v>37986</v>
          </cell>
        </row>
        <row r="16">
          <cell r="A16" t="str">
            <v>AC18107</v>
          </cell>
          <cell r="B16">
            <v>155646</v>
          </cell>
          <cell r="C16">
            <v>156344</v>
          </cell>
          <cell r="D16">
            <v>157042</v>
          </cell>
          <cell r="E16">
            <v>157740</v>
          </cell>
          <cell r="F16">
            <v>158438</v>
          </cell>
          <cell r="G16">
            <v>159136</v>
          </cell>
          <cell r="H16">
            <v>159834</v>
          </cell>
          <cell r="I16">
            <v>160532</v>
          </cell>
          <cell r="J16">
            <v>161230</v>
          </cell>
          <cell r="K16">
            <v>161928</v>
          </cell>
          <cell r="L16">
            <v>162626</v>
          </cell>
          <cell r="M16">
            <v>163324</v>
          </cell>
          <cell r="N16">
            <v>164022</v>
          </cell>
          <cell r="O16">
            <v>37986</v>
          </cell>
        </row>
        <row r="17">
          <cell r="A17" t="str">
            <v>AC18110</v>
          </cell>
          <cell r="B17">
            <v>0</v>
          </cell>
          <cell r="C17">
            <v>0</v>
          </cell>
          <cell r="D17">
            <v>0</v>
          </cell>
          <cell r="E17">
            <v>0</v>
          </cell>
          <cell r="F17">
            <v>0</v>
          </cell>
          <cell r="G17">
            <v>0</v>
          </cell>
          <cell r="H17">
            <v>0</v>
          </cell>
          <cell r="I17">
            <v>0</v>
          </cell>
          <cell r="J17">
            <v>0</v>
          </cell>
          <cell r="K17">
            <v>0</v>
          </cell>
          <cell r="L17">
            <v>0</v>
          </cell>
          <cell r="M17">
            <v>0</v>
          </cell>
          <cell r="N17">
            <v>0</v>
          </cell>
          <cell r="O17">
            <v>37986</v>
          </cell>
        </row>
        <row r="18">
          <cell r="A18" t="str">
            <v>AC18116</v>
          </cell>
          <cell r="B18">
            <v>124891</v>
          </cell>
          <cell r="C18">
            <v>126115</v>
          </cell>
          <cell r="D18">
            <v>127340</v>
          </cell>
          <cell r="E18">
            <v>128564</v>
          </cell>
          <cell r="F18">
            <v>129789</v>
          </cell>
          <cell r="G18">
            <v>131013</v>
          </cell>
          <cell r="H18">
            <v>132237</v>
          </cell>
          <cell r="I18">
            <v>133462</v>
          </cell>
          <cell r="J18">
            <v>134686</v>
          </cell>
          <cell r="K18">
            <v>135911</v>
          </cell>
          <cell r="L18">
            <v>137135</v>
          </cell>
          <cell r="M18">
            <v>138359</v>
          </cell>
          <cell r="N18">
            <v>139584</v>
          </cell>
          <cell r="O18">
            <v>37986</v>
          </cell>
        </row>
        <row r="19">
          <cell r="A19" t="str">
            <v>AC1812F</v>
          </cell>
          <cell r="B19">
            <v>0</v>
          </cell>
          <cell r="C19">
            <v>0</v>
          </cell>
          <cell r="D19">
            <v>0</v>
          </cell>
          <cell r="E19">
            <v>0</v>
          </cell>
          <cell r="F19">
            <v>0</v>
          </cell>
          <cell r="G19">
            <v>0</v>
          </cell>
          <cell r="H19">
            <v>0</v>
          </cell>
          <cell r="I19">
            <v>0</v>
          </cell>
          <cell r="J19">
            <v>0</v>
          </cell>
          <cell r="K19">
            <v>0</v>
          </cell>
          <cell r="L19">
            <v>0</v>
          </cell>
          <cell r="M19">
            <v>0</v>
          </cell>
          <cell r="N19">
            <v>0</v>
          </cell>
          <cell r="O19">
            <v>37986</v>
          </cell>
        </row>
        <row r="20">
          <cell r="A20" t="str">
            <v>AC181WM</v>
          </cell>
          <cell r="B20">
            <v>0</v>
          </cell>
          <cell r="C20">
            <v>0</v>
          </cell>
          <cell r="D20">
            <v>0</v>
          </cell>
          <cell r="E20">
            <v>18</v>
          </cell>
          <cell r="F20">
            <v>0</v>
          </cell>
          <cell r="G20">
            <v>0</v>
          </cell>
          <cell r="H20">
            <v>0</v>
          </cell>
          <cell r="I20">
            <v>0</v>
          </cell>
          <cell r="J20">
            <v>0</v>
          </cell>
          <cell r="K20">
            <v>0</v>
          </cell>
          <cell r="L20">
            <v>0</v>
          </cell>
          <cell r="M20">
            <v>0</v>
          </cell>
          <cell r="N20">
            <v>0</v>
          </cell>
          <cell r="O20">
            <v>37986</v>
          </cell>
        </row>
        <row r="21">
          <cell r="A21" t="str">
            <v>AC181Y8</v>
          </cell>
          <cell r="B21">
            <v>110260</v>
          </cell>
          <cell r="C21">
            <v>110716</v>
          </cell>
          <cell r="D21">
            <v>111171</v>
          </cell>
          <cell r="E21">
            <v>111627</v>
          </cell>
          <cell r="F21">
            <v>112083</v>
          </cell>
          <cell r="G21">
            <v>112538</v>
          </cell>
          <cell r="H21">
            <v>112994</v>
          </cell>
          <cell r="I21">
            <v>113449</v>
          </cell>
          <cell r="J21">
            <v>113905</v>
          </cell>
          <cell r="K21">
            <v>114361</v>
          </cell>
          <cell r="L21">
            <v>114816</v>
          </cell>
          <cell r="M21">
            <v>115272</v>
          </cell>
          <cell r="N21">
            <v>115727</v>
          </cell>
          <cell r="O21">
            <v>37986</v>
          </cell>
        </row>
        <row r="22">
          <cell r="A22" t="str">
            <v>AC181Y9</v>
          </cell>
          <cell r="B22">
            <v>30451</v>
          </cell>
          <cell r="C22">
            <v>31973</v>
          </cell>
          <cell r="D22">
            <v>33496</v>
          </cell>
          <cell r="E22">
            <v>35018</v>
          </cell>
          <cell r="F22">
            <v>36541</v>
          </cell>
          <cell r="G22">
            <v>38063</v>
          </cell>
          <cell r="H22">
            <v>39586</v>
          </cell>
          <cell r="I22">
            <v>41108</v>
          </cell>
          <cell r="J22">
            <v>42631</v>
          </cell>
          <cell r="K22">
            <v>44154</v>
          </cell>
          <cell r="L22">
            <v>45676</v>
          </cell>
          <cell r="M22">
            <v>47199</v>
          </cell>
          <cell r="N22">
            <v>48721</v>
          </cell>
          <cell r="O22">
            <v>37986</v>
          </cell>
        </row>
        <row r="23">
          <cell r="A23" t="str">
            <v>AC181YG</v>
          </cell>
          <cell r="B23">
            <v>1630</v>
          </cell>
          <cell r="C23">
            <v>1630</v>
          </cell>
          <cell r="D23">
            <v>1630</v>
          </cell>
          <cell r="E23">
            <v>1630</v>
          </cell>
          <cell r="F23">
            <v>1630</v>
          </cell>
          <cell r="G23">
            <v>1630</v>
          </cell>
          <cell r="H23">
            <v>1630</v>
          </cell>
          <cell r="I23">
            <v>0</v>
          </cell>
          <cell r="J23">
            <v>0</v>
          </cell>
          <cell r="K23">
            <v>0</v>
          </cell>
          <cell r="L23">
            <v>0</v>
          </cell>
          <cell r="M23">
            <v>0</v>
          </cell>
          <cell r="N23">
            <v>0</v>
          </cell>
          <cell r="O23">
            <v>37986</v>
          </cell>
        </row>
        <row r="24">
          <cell r="A24" t="str">
            <v>AC1826A</v>
          </cell>
          <cell r="B24">
            <v>68</v>
          </cell>
          <cell r="C24">
            <v>75</v>
          </cell>
          <cell r="D24">
            <v>82</v>
          </cell>
          <cell r="E24">
            <v>89</v>
          </cell>
          <cell r="F24">
            <v>96</v>
          </cell>
          <cell r="G24">
            <v>0</v>
          </cell>
          <cell r="H24">
            <v>0</v>
          </cell>
          <cell r="I24">
            <v>0</v>
          </cell>
          <cell r="J24">
            <v>0</v>
          </cell>
          <cell r="K24">
            <v>0</v>
          </cell>
          <cell r="L24">
            <v>0</v>
          </cell>
          <cell r="M24">
            <v>0</v>
          </cell>
          <cell r="N24">
            <v>0</v>
          </cell>
          <cell r="O24">
            <v>37986</v>
          </cell>
        </row>
        <row r="25">
          <cell r="A25" t="str">
            <v>AC18274</v>
          </cell>
          <cell r="B25">
            <v>11</v>
          </cell>
          <cell r="C25">
            <v>12</v>
          </cell>
          <cell r="D25">
            <v>13</v>
          </cell>
          <cell r="E25">
            <v>14</v>
          </cell>
          <cell r="F25">
            <v>15</v>
          </cell>
          <cell r="G25">
            <v>0</v>
          </cell>
          <cell r="H25">
            <v>0</v>
          </cell>
          <cell r="I25">
            <v>0</v>
          </cell>
          <cell r="J25">
            <v>0</v>
          </cell>
          <cell r="K25">
            <v>0</v>
          </cell>
          <cell r="L25">
            <v>0</v>
          </cell>
          <cell r="M25">
            <v>0</v>
          </cell>
          <cell r="N25">
            <v>0</v>
          </cell>
          <cell r="O25">
            <v>37986</v>
          </cell>
        </row>
        <row r="26">
          <cell r="A26" t="str">
            <v>AC182DE</v>
          </cell>
          <cell r="B26">
            <v>137</v>
          </cell>
          <cell r="C26">
            <v>150</v>
          </cell>
          <cell r="D26">
            <v>164</v>
          </cell>
          <cell r="E26">
            <v>178</v>
          </cell>
          <cell r="F26">
            <v>191</v>
          </cell>
          <cell r="G26">
            <v>0</v>
          </cell>
          <cell r="H26">
            <v>0</v>
          </cell>
          <cell r="I26">
            <v>0</v>
          </cell>
          <cell r="J26">
            <v>0</v>
          </cell>
          <cell r="K26">
            <v>0</v>
          </cell>
          <cell r="L26">
            <v>0</v>
          </cell>
          <cell r="M26">
            <v>0</v>
          </cell>
          <cell r="N26">
            <v>0</v>
          </cell>
          <cell r="O26">
            <v>37986</v>
          </cell>
        </row>
        <row r="27">
          <cell r="A27" t="str">
            <v>AC182DK</v>
          </cell>
          <cell r="B27">
            <v>11764</v>
          </cell>
          <cell r="C27">
            <v>15223</v>
          </cell>
          <cell r="D27">
            <v>13447</v>
          </cell>
          <cell r="E27">
            <v>18654</v>
          </cell>
          <cell r="F27">
            <v>8139</v>
          </cell>
          <cell r="G27">
            <v>0</v>
          </cell>
          <cell r="H27">
            <v>0</v>
          </cell>
          <cell r="I27">
            <v>0</v>
          </cell>
          <cell r="J27">
            <v>0</v>
          </cell>
          <cell r="K27">
            <v>0</v>
          </cell>
          <cell r="L27">
            <v>0</v>
          </cell>
          <cell r="M27">
            <v>0</v>
          </cell>
          <cell r="N27">
            <v>0</v>
          </cell>
          <cell r="O27">
            <v>37986</v>
          </cell>
        </row>
        <row r="28">
          <cell r="A28" t="str">
            <v>AC182DP</v>
          </cell>
          <cell r="B28">
            <v>32</v>
          </cell>
          <cell r="C28">
            <v>35</v>
          </cell>
          <cell r="D28">
            <v>38</v>
          </cell>
          <cell r="E28">
            <v>41</v>
          </cell>
          <cell r="F28">
            <v>44</v>
          </cell>
          <cell r="G28">
            <v>0</v>
          </cell>
          <cell r="H28">
            <v>0</v>
          </cell>
          <cell r="I28">
            <v>0</v>
          </cell>
          <cell r="J28">
            <v>0</v>
          </cell>
          <cell r="K28">
            <v>0</v>
          </cell>
          <cell r="L28">
            <v>0</v>
          </cell>
          <cell r="M28">
            <v>0</v>
          </cell>
          <cell r="N28">
            <v>0</v>
          </cell>
          <cell r="O28">
            <v>37986</v>
          </cell>
        </row>
        <row r="29">
          <cell r="A29" t="str">
            <v>AC182DS</v>
          </cell>
          <cell r="B29">
            <v>42</v>
          </cell>
          <cell r="C29">
            <v>46</v>
          </cell>
          <cell r="D29">
            <v>50</v>
          </cell>
          <cell r="E29">
            <v>55</v>
          </cell>
          <cell r="F29">
            <v>59</v>
          </cell>
          <cell r="G29">
            <v>0</v>
          </cell>
          <cell r="H29">
            <v>0</v>
          </cell>
          <cell r="I29">
            <v>0</v>
          </cell>
          <cell r="J29">
            <v>0</v>
          </cell>
          <cell r="K29">
            <v>0</v>
          </cell>
          <cell r="L29">
            <v>0</v>
          </cell>
          <cell r="M29">
            <v>0</v>
          </cell>
          <cell r="N29">
            <v>0</v>
          </cell>
          <cell r="O29">
            <v>37986</v>
          </cell>
        </row>
        <row r="30">
          <cell r="A30" t="str">
            <v>AC182GV</v>
          </cell>
          <cell r="B30">
            <v>-2</v>
          </cell>
          <cell r="C30">
            <v>5</v>
          </cell>
          <cell r="D30">
            <v>12</v>
          </cell>
          <cell r="E30">
            <v>13</v>
          </cell>
          <cell r="F30">
            <v>14</v>
          </cell>
          <cell r="G30">
            <v>0</v>
          </cell>
          <cell r="H30">
            <v>0</v>
          </cell>
          <cell r="I30">
            <v>0</v>
          </cell>
          <cell r="J30">
            <v>0</v>
          </cell>
          <cell r="K30">
            <v>0</v>
          </cell>
          <cell r="L30">
            <v>0</v>
          </cell>
          <cell r="M30">
            <v>0</v>
          </cell>
          <cell r="N30">
            <v>0</v>
          </cell>
          <cell r="O30">
            <v>37986</v>
          </cell>
        </row>
        <row r="31">
          <cell r="A31" t="str">
            <v>AC182HM</v>
          </cell>
          <cell r="B31">
            <v>8052</v>
          </cell>
          <cell r="C31">
            <v>8827</v>
          </cell>
          <cell r="D31">
            <v>6168</v>
          </cell>
          <cell r="E31">
            <v>7064</v>
          </cell>
          <cell r="F31">
            <v>7551</v>
          </cell>
          <cell r="G31">
            <v>0</v>
          </cell>
          <cell r="H31">
            <v>0</v>
          </cell>
          <cell r="I31">
            <v>0</v>
          </cell>
          <cell r="J31">
            <v>0</v>
          </cell>
          <cell r="K31">
            <v>0</v>
          </cell>
          <cell r="L31">
            <v>0</v>
          </cell>
          <cell r="M31">
            <v>0</v>
          </cell>
          <cell r="N31">
            <v>0</v>
          </cell>
          <cell r="O31">
            <v>37986</v>
          </cell>
        </row>
        <row r="32">
          <cell r="A32" t="str">
            <v>AC182HR</v>
          </cell>
          <cell r="B32">
            <v>0</v>
          </cell>
          <cell r="C32">
            <v>0</v>
          </cell>
          <cell r="D32">
            <v>0</v>
          </cell>
          <cell r="E32">
            <v>0</v>
          </cell>
          <cell r="F32">
            <v>0</v>
          </cell>
          <cell r="G32">
            <v>0</v>
          </cell>
          <cell r="H32">
            <v>0</v>
          </cell>
          <cell r="I32">
            <v>0</v>
          </cell>
          <cell r="J32">
            <v>0</v>
          </cell>
          <cell r="K32">
            <v>0</v>
          </cell>
          <cell r="L32">
            <v>0</v>
          </cell>
          <cell r="M32">
            <v>0</v>
          </cell>
          <cell r="N32">
            <v>0</v>
          </cell>
          <cell r="O32">
            <v>37986</v>
          </cell>
        </row>
        <row r="33">
          <cell r="A33" t="str">
            <v>AC182HW</v>
          </cell>
          <cell r="B33">
            <v>7364</v>
          </cell>
          <cell r="C33">
            <v>7140</v>
          </cell>
          <cell r="D33">
            <v>6797</v>
          </cell>
          <cell r="E33">
            <v>5991</v>
          </cell>
          <cell r="F33">
            <v>4226</v>
          </cell>
          <cell r="G33">
            <v>0</v>
          </cell>
          <cell r="H33">
            <v>0</v>
          </cell>
          <cell r="I33">
            <v>0</v>
          </cell>
          <cell r="J33">
            <v>0</v>
          </cell>
          <cell r="K33">
            <v>0</v>
          </cell>
          <cell r="L33">
            <v>0</v>
          </cell>
          <cell r="M33">
            <v>0</v>
          </cell>
          <cell r="N33">
            <v>0</v>
          </cell>
          <cell r="O33">
            <v>37986</v>
          </cell>
        </row>
        <row r="34">
          <cell r="A34" t="str">
            <v>AC182IN</v>
          </cell>
          <cell r="B34">
            <v>0</v>
          </cell>
          <cell r="C34">
            <v>0</v>
          </cell>
          <cell r="D34">
            <v>0</v>
          </cell>
          <cell r="E34">
            <v>0</v>
          </cell>
          <cell r="F34">
            <v>0</v>
          </cell>
          <cell r="G34">
            <v>0</v>
          </cell>
          <cell r="H34">
            <v>0</v>
          </cell>
          <cell r="I34">
            <v>0</v>
          </cell>
          <cell r="J34">
            <v>0</v>
          </cell>
          <cell r="K34">
            <v>0</v>
          </cell>
          <cell r="L34">
            <v>0</v>
          </cell>
          <cell r="M34">
            <v>0</v>
          </cell>
          <cell r="N34">
            <v>0</v>
          </cell>
          <cell r="O34">
            <v>37986</v>
          </cell>
        </row>
        <row r="35">
          <cell r="A35" t="str">
            <v>AC182MN</v>
          </cell>
          <cell r="B35">
            <v>292</v>
          </cell>
          <cell r="C35">
            <v>321</v>
          </cell>
          <cell r="D35">
            <v>351</v>
          </cell>
          <cell r="E35">
            <v>380</v>
          </cell>
          <cell r="F35">
            <v>409</v>
          </cell>
          <cell r="G35">
            <v>0</v>
          </cell>
          <cell r="H35">
            <v>0</v>
          </cell>
          <cell r="I35">
            <v>0</v>
          </cell>
          <cell r="J35">
            <v>0</v>
          </cell>
          <cell r="K35">
            <v>0</v>
          </cell>
          <cell r="L35">
            <v>0</v>
          </cell>
          <cell r="M35">
            <v>0</v>
          </cell>
          <cell r="N35">
            <v>0</v>
          </cell>
          <cell r="O35">
            <v>37986</v>
          </cell>
        </row>
        <row r="36">
          <cell r="A36" t="str">
            <v>AC182PR</v>
          </cell>
          <cell r="B36">
            <v>569</v>
          </cell>
          <cell r="C36">
            <v>598</v>
          </cell>
          <cell r="D36">
            <v>627</v>
          </cell>
          <cell r="E36">
            <v>576</v>
          </cell>
          <cell r="F36">
            <v>554</v>
          </cell>
          <cell r="G36">
            <v>0</v>
          </cell>
          <cell r="H36">
            <v>0</v>
          </cell>
          <cell r="I36">
            <v>0</v>
          </cell>
          <cell r="J36">
            <v>0</v>
          </cell>
          <cell r="K36">
            <v>0</v>
          </cell>
          <cell r="L36">
            <v>0</v>
          </cell>
          <cell r="M36">
            <v>0</v>
          </cell>
          <cell r="N36">
            <v>0</v>
          </cell>
          <cell r="O36">
            <v>37986</v>
          </cell>
        </row>
        <row r="37">
          <cell r="A37" t="str">
            <v>AC182SG</v>
          </cell>
          <cell r="B37">
            <v>10</v>
          </cell>
          <cell r="C37">
            <v>11</v>
          </cell>
          <cell r="D37">
            <v>12</v>
          </cell>
          <cell r="E37">
            <v>13</v>
          </cell>
          <cell r="F37">
            <v>14</v>
          </cell>
          <cell r="G37">
            <v>0</v>
          </cell>
          <cell r="H37">
            <v>0</v>
          </cell>
          <cell r="I37">
            <v>0</v>
          </cell>
          <cell r="J37">
            <v>0</v>
          </cell>
          <cell r="K37">
            <v>0</v>
          </cell>
          <cell r="L37">
            <v>0</v>
          </cell>
          <cell r="M37">
            <v>0</v>
          </cell>
          <cell r="N37">
            <v>0</v>
          </cell>
          <cell r="O37">
            <v>37986</v>
          </cell>
        </row>
        <row r="38">
          <cell r="A38" t="str">
            <v>AC182TE</v>
          </cell>
          <cell r="B38">
            <v>0</v>
          </cell>
          <cell r="C38">
            <v>0</v>
          </cell>
          <cell r="D38">
            <v>0</v>
          </cell>
          <cell r="E38">
            <v>0</v>
          </cell>
          <cell r="F38">
            <v>0</v>
          </cell>
          <cell r="G38">
            <v>0</v>
          </cell>
          <cell r="H38">
            <v>0</v>
          </cell>
          <cell r="I38">
            <v>0</v>
          </cell>
          <cell r="J38">
            <v>0</v>
          </cell>
          <cell r="K38">
            <v>0</v>
          </cell>
          <cell r="L38">
            <v>0</v>
          </cell>
          <cell r="M38">
            <v>0</v>
          </cell>
          <cell r="N38">
            <v>0</v>
          </cell>
          <cell r="O38">
            <v>37986</v>
          </cell>
        </row>
        <row r="39">
          <cell r="A39" t="str">
            <v>AC182TR</v>
          </cell>
          <cell r="B39">
            <v>1537</v>
          </cell>
          <cell r="C39">
            <v>1657</v>
          </cell>
          <cell r="D39">
            <v>1626</v>
          </cell>
          <cell r="E39">
            <v>1715</v>
          </cell>
          <cell r="F39">
            <v>1732</v>
          </cell>
          <cell r="G39">
            <v>0</v>
          </cell>
          <cell r="H39">
            <v>0</v>
          </cell>
          <cell r="I39">
            <v>0</v>
          </cell>
          <cell r="J39">
            <v>0</v>
          </cell>
          <cell r="K39">
            <v>0</v>
          </cell>
          <cell r="L39">
            <v>0</v>
          </cell>
          <cell r="M39">
            <v>0</v>
          </cell>
          <cell r="N39">
            <v>0</v>
          </cell>
          <cell r="O39">
            <v>37986</v>
          </cell>
        </row>
        <row r="40">
          <cell r="A40" t="str">
            <v>AC182YZ</v>
          </cell>
          <cell r="B40">
            <v>0</v>
          </cell>
          <cell r="C40">
            <v>0</v>
          </cell>
          <cell r="D40">
            <v>0</v>
          </cell>
          <cell r="E40">
            <v>0</v>
          </cell>
          <cell r="F40">
            <v>0</v>
          </cell>
          <cell r="G40">
            <v>0</v>
          </cell>
          <cell r="H40">
            <v>0</v>
          </cell>
          <cell r="I40">
            <v>0</v>
          </cell>
          <cell r="J40">
            <v>0</v>
          </cell>
          <cell r="K40">
            <v>0</v>
          </cell>
          <cell r="L40">
            <v>0</v>
          </cell>
          <cell r="M40">
            <v>0</v>
          </cell>
          <cell r="N40">
            <v>0</v>
          </cell>
          <cell r="O40">
            <v>37986</v>
          </cell>
        </row>
        <row r="41">
          <cell r="A41" t="str">
            <v>AC1863E</v>
          </cell>
          <cell r="B41">
            <v>82</v>
          </cell>
          <cell r="C41">
            <v>90</v>
          </cell>
          <cell r="D41">
            <v>98</v>
          </cell>
          <cell r="E41">
            <v>106</v>
          </cell>
          <cell r="F41">
            <v>115</v>
          </cell>
          <cell r="G41">
            <v>0</v>
          </cell>
          <cell r="H41">
            <v>0</v>
          </cell>
          <cell r="I41">
            <v>0</v>
          </cell>
          <cell r="J41">
            <v>0</v>
          </cell>
          <cell r="K41">
            <v>0</v>
          </cell>
          <cell r="L41">
            <v>0</v>
          </cell>
          <cell r="M41">
            <v>0</v>
          </cell>
          <cell r="N41">
            <v>0</v>
          </cell>
          <cell r="O41">
            <v>37986</v>
          </cell>
        </row>
        <row r="42">
          <cell r="A42" t="str">
            <v>AC186DF</v>
          </cell>
          <cell r="B42">
            <v>786</v>
          </cell>
          <cell r="C42">
            <v>864</v>
          </cell>
          <cell r="D42">
            <v>943</v>
          </cell>
          <cell r="E42">
            <v>1022</v>
          </cell>
          <cell r="F42">
            <v>1100</v>
          </cell>
          <cell r="G42">
            <v>0</v>
          </cell>
          <cell r="H42">
            <v>0</v>
          </cell>
          <cell r="I42">
            <v>0</v>
          </cell>
          <cell r="J42">
            <v>0</v>
          </cell>
          <cell r="K42">
            <v>0</v>
          </cell>
          <cell r="L42">
            <v>0</v>
          </cell>
          <cell r="M42">
            <v>0</v>
          </cell>
          <cell r="N42">
            <v>0</v>
          </cell>
          <cell r="O42">
            <v>37986</v>
          </cell>
        </row>
        <row r="43">
          <cell r="A43" t="str">
            <v>AC186FC</v>
          </cell>
          <cell r="B43">
            <v>0</v>
          </cell>
          <cell r="C43">
            <v>0</v>
          </cell>
          <cell r="D43">
            <v>0</v>
          </cell>
          <cell r="E43">
            <v>0</v>
          </cell>
          <cell r="F43">
            <v>184</v>
          </cell>
          <cell r="G43">
            <v>0</v>
          </cell>
          <cell r="H43">
            <v>0</v>
          </cell>
          <cell r="I43">
            <v>0</v>
          </cell>
          <cell r="J43">
            <v>0</v>
          </cell>
          <cell r="K43">
            <v>0</v>
          </cell>
          <cell r="L43">
            <v>0</v>
          </cell>
          <cell r="M43">
            <v>0</v>
          </cell>
          <cell r="N43">
            <v>0</v>
          </cell>
          <cell r="O43">
            <v>37986</v>
          </cell>
        </row>
        <row r="44">
          <cell r="A44" t="str">
            <v>AC18903</v>
          </cell>
          <cell r="B44">
            <v>272087</v>
          </cell>
          <cell r="C44">
            <v>276210</v>
          </cell>
          <cell r="D44">
            <v>280332</v>
          </cell>
          <cell r="E44">
            <v>284455</v>
          </cell>
          <cell r="F44">
            <v>288577</v>
          </cell>
          <cell r="G44">
            <v>292700</v>
          </cell>
          <cell r="H44">
            <v>296822</v>
          </cell>
          <cell r="I44">
            <v>300945</v>
          </cell>
          <cell r="J44">
            <v>305067</v>
          </cell>
          <cell r="K44">
            <v>309190</v>
          </cell>
          <cell r="L44">
            <v>313312</v>
          </cell>
          <cell r="M44">
            <v>317435</v>
          </cell>
          <cell r="N44">
            <v>321557</v>
          </cell>
          <cell r="O44">
            <v>37986</v>
          </cell>
        </row>
        <row r="45">
          <cell r="A45" t="str">
            <v>AC190DG</v>
          </cell>
          <cell r="B45">
            <v>-1317</v>
          </cell>
          <cell r="C45">
            <v>-1215</v>
          </cell>
          <cell r="D45">
            <v>-1217</v>
          </cell>
          <cell r="E45">
            <v>-1130</v>
          </cell>
          <cell r="F45">
            <v>-770</v>
          </cell>
          <cell r="G45">
            <v>0</v>
          </cell>
          <cell r="H45">
            <v>0</v>
          </cell>
          <cell r="I45">
            <v>0</v>
          </cell>
          <cell r="J45">
            <v>0</v>
          </cell>
          <cell r="K45">
            <v>0</v>
          </cell>
          <cell r="L45">
            <v>0</v>
          </cell>
          <cell r="M45">
            <v>0</v>
          </cell>
          <cell r="N45">
            <v>0</v>
          </cell>
          <cell r="O45">
            <v>37986</v>
          </cell>
        </row>
        <row r="46">
          <cell r="A46" t="str">
            <v>AC190DK</v>
          </cell>
          <cell r="B46">
            <v>-1975</v>
          </cell>
          <cell r="C46">
            <v>-1826</v>
          </cell>
          <cell r="D46">
            <v>-1830</v>
          </cell>
          <cell r="E46">
            <v>-1704</v>
          </cell>
          <cell r="F46">
            <v>-1161</v>
          </cell>
          <cell r="G46">
            <v>0</v>
          </cell>
          <cell r="H46">
            <v>0</v>
          </cell>
          <cell r="I46">
            <v>0</v>
          </cell>
          <cell r="J46">
            <v>0</v>
          </cell>
          <cell r="K46">
            <v>0</v>
          </cell>
          <cell r="L46">
            <v>0</v>
          </cell>
          <cell r="M46">
            <v>0</v>
          </cell>
          <cell r="N46">
            <v>0</v>
          </cell>
          <cell r="O46">
            <v>37986</v>
          </cell>
        </row>
        <row r="47">
          <cell r="A47" t="str">
            <v>AC22105</v>
          </cell>
          <cell r="B47">
            <v>-15200000</v>
          </cell>
          <cell r="C47">
            <v>-15200000</v>
          </cell>
          <cell r="D47">
            <v>-16150000</v>
          </cell>
          <cell r="E47">
            <v>-16150000</v>
          </cell>
          <cell r="F47">
            <v>-16150000</v>
          </cell>
          <cell r="G47">
            <v>-16150000</v>
          </cell>
          <cell r="H47">
            <v>-16150000</v>
          </cell>
          <cell r="I47">
            <v>-16150000</v>
          </cell>
          <cell r="J47">
            <v>-16150000</v>
          </cell>
          <cell r="K47">
            <v>-16150000</v>
          </cell>
          <cell r="L47">
            <v>-16150000</v>
          </cell>
          <cell r="M47">
            <v>-16150000</v>
          </cell>
          <cell r="N47">
            <v>-16150000</v>
          </cell>
          <cell r="O47">
            <v>37986</v>
          </cell>
        </row>
        <row r="48">
          <cell r="A48" t="str">
            <v>AC22106</v>
          </cell>
          <cell r="B48">
            <v>-20000000</v>
          </cell>
          <cell r="C48">
            <v>-20000000</v>
          </cell>
          <cell r="D48">
            <v>-20000000</v>
          </cell>
          <cell r="E48">
            <v>-20000000</v>
          </cell>
          <cell r="F48">
            <v>-20000000</v>
          </cell>
          <cell r="G48">
            <v>-20000000</v>
          </cell>
          <cell r="H48">
            <v>-20000000</v>
          </cell>
          <cell r="I48">
            <v>-20000000</v>
          </cell>
          <cell r="J48">
            <v>-20000000</v>
          </cell>
          <cell r="K48">
            <v>-20000000</v>
          </cell>
          <cell r="L48">
            <v>-20000000</v>
          </cell>
          <cell r="M48">
            <v>-20000000</v>
          </cell>
          <cell r="N48">
            <v>-20000000</v>
          </cell>
          <cell r="O48">
            <v>37986</v>
          </cell>
        </row>
        <row r="49">
          <cell r="A49" t="str">
            <v>AC22107</v>
          </cell>
          <cell r="B49">
            <v>-20000000</v>
          </cell>
          <cell r="C49">
            <v>-20000000</v>
          </cell>
          <cell r="D49">
            <v>-20000000</v>
          </cell>
          <cell r="E49">
            <v>-20000000</v>
          </cell>
          <cell r="F49">
            <v>-20000000</v>
          </cell>
          <cell r="G49">
            <v>-20000000</v>
          </cell>
          <cell r="H49">
            <v>-20000000</v>
          </cell>
          <cell r="I49">
            <v>-20000000</v>
          </cell>
          <cell r="J49">
            <v>-20000000</v>
          </cell>
          <cell r="K49">
            <v>-20000000</v>
          </cell>
          <cell r="L49">
            <v>-20000000</v>
          </cell>
          <cell r="M49">
            <v>-20000000</v>
          </cell>
          <cell r="N49">
            <v>-20000000</v>
          </cell>
          <cell r="O49">
            <v>37986</v>
          </cell>
        </row>
        <row r="50">
          <cell r="A50" t="str">
            <v>AC22109</v>
          </cell>
          <cell r="B50">
            <v>-30000000</v>
          </cell>
          <cell r="C50">
            <v>-30000000</v>
          </cell>
          <cell r="D50">
            <v>-30000000</v>
          </cell>
          <cell r="E50">
            <v>-30000000</v>
          </cell>
          <cell r="F50">
            <v>-30000000</v>
          </cell>
          <cell r="G50">
            <v>-30000000</v>
          </cell>
          <cell r="H50">
            <v>-30000000</v>
          </cell>
          <cell r="I50">
            <v>-30000000</v>
          </cell>
          <cell r="J50">
            <v>-30000000</v>
          </cell>
          <cell r="K50">
            <v>-30000000</v>
          </cell>
          <cell r="L50">
            <v>-30000000</v>
          </cell>
          <cell r="M50">
            <v>-30000000</v>
          </cell>
          <cell r="N50">
            <v>-30000000</v>
          </cell>
          <cell r="O50">
            <v>37986</v>
          </cell>
        </row>
        <row r="51">
          <cell r="A51" t="str">
            <v>AC22110</v>
          </cell>
          <cell r="B51">
            <v>-50000000</v>
          </cell>
          <cell r="C51">
            <v>-50000000</v>
          </cell>
          <cell r="D51">
            <v>-50000000</v>
          </cell>
          <cell r="E51">
            <v>-50000000</v>
          </cell>
          <cell r="F51">
            <v>-50000000</v>
          </cell>
          <cell r="G51">
            <v>-50000000</v>
          </cell>
          <cell r="H51">
            <v>-50000000</v>
          </cell>
          <cell r="I51">
            <v>-50000000</v>
          </cell>
          <cell r="J51">
            <v>-50000000</v>
          </cell>
          <cell r="K51">
            <v>-50000000</v>
          </cell>
          <cell r="L51">
            <v>-50000000</v>
          </cell>
          <cell r="M51">
            <v>-50000000</v>
          </cell>
          <cell r="N51">
            <v>-50000000</v>
          </cell>
          <cell r="O51">
            <v>37986</v>
          </cell>
        </row>
        <row r="52">
          <cell r="A52" t="str">
            <v>AC22111</v>
          </cell>
          <cell r="B52">
            <v>-20000000</v>
          </cell>
          <cell r="C52">
            <v>-20000000</v>
          </cell>
          <cell r="D52">
            <v>-20000000</v>
          </cell>
          <cell r="E52">
            <v>-20000000</v>
          </cell>
          <cell r="F52">
            <v>-20000000</v>
          </cell>
          <cell r="G52">
            <v>-20000000</v>
          </cell>
          <cell r="H52">
            <v>-20000000</v>
          </cell>
          <cell r="I52">
            <v>-20000000</v>
          </cell>
          <cell r="J52">
            <v>-20000000</v>
          </cell>
          <cell r="K52">
            <v>-20000000</v>
          </cell>
          <cell r="L52">
            <v>-20000000</v>
          </cell>
          <cell r="M52">
            <v>-20000000</v>
          </cell>
          <cell r="N52">
            <v>-20000000</v>
          </cell>
          <cell r="O52">
            <v>37986</v>
          </cell>
        </row>
        <row r="53">
          <cell r="A53" t="str">
            <v>AC22198</v>
          </cell>
          <cell r="B53">
            <v>3188647</v>
          </cell>
          <cell r="C53">
            <v>3258305</v>
          </cell>
          <cell r="D53">
            <v>3327963</v>
          </cell>
          <cell r="E53">
            <v>3397621</v>
          </cell>
          <cell r="F53">
            <v>3467279</v>
          </cell>
          <cell r="G53">
            <v>3536937</v>
          </cell>
          <cell r="H53">
            <v>3606595</v>
          </cell>
          <cell r="I53">
            <v>3676253</v>
          </cell>
          <cell r="J53">
            <v>3745911</v>
          </cell>
          <cell r="K53">
            <v>3815569</v>
          </cell>
          <cell r="L53">
            <v>3884408</v>
          </cell>
          <cell r="M53">
            <v>3953248</v>
          </cell>
          <cell r="N53">
            <v>4022087</v>
          </cell>
          <cell r="O53">
            <v>37986</v>
          </cell>
        </row>
        <row r="54">
          <cell r="A54" t="str">
            <v>AC2219A</v>
          </cell>
          <cell r="B54">
            <v>950000</v>
          </cell>
          <cell r="C54">
            <v>950000</v>
          </cell>
          <cell r="D54">
            <v>950000</v>
          </cell>
          <cell r="E54">
            <v>950000</v>
          </cell>
          <cell r="F54">
            <v>950000</v>
          </cell>
          <cell r="G54">
            <v>950000</v>
          </cell>
          <cell r="H54">
            <v>950000</v>
          </cell>
          <cell r="I54">
            <v>950000</v>
          </cell>
          <cell r="J54">
            <v>950000</v>
          </cell>
          <cell r="K54">
            <v>950000</v>
          </cell>
          <cell r="L54">
            <v>950000</v>
          </cell>
          <cell r="M54">
            <v>950000</v>
          </cell>
          <cell r="N54">
            <v>950000</v>
          </cell>
          <cell r="O54">
            <v>37986</v>
          </cell>
        </row>
        <row r="55">
          <cell r="A55" t="str">
            <v>AC2219B</v>
          </cell>
          <cell r="B55">
            <v>-950000</v>
          </cell>
          <cell r="C55">
            <v>-950000</v>
          </cell>
          <cell r="D55">
            <v>-950000</v>
          </cell>
          <cell r="E55">
            <v>-950000</v>
          </cell>
          <cell r="F55">
            <v>-950000</v>
          </cell>
          <cell r="G55">
            <v>-950000</v>
          </cell>
          <cell r="H55">
            <v>-950000</v>
          </cell>
          <cell r="I55">
            <v>-950000</v>
          </cell>
          <cell r="J55">
            <v>-950000</v>
          </cell>
          <cell r="K55">
            <v>-950000</v>
          </cell>
          <cell r="L55">
            <v>-950000</v>
          </cell>
          <cell r="M55">
            <v>-950000</v>
          </cell>
          <cell r="N55">
            <v>-950000</v>
          </cell>
          <cell r="O55">
            <v>37986</v>
          </cell>
        </row>
        <row r="56">
          <cell r="A56" t="str">
            <v>AC2249A</v>
          </cell>
          <cell r="B56">
            <v>0</v>
          </cell>
          <cell r="C56">
            <v>0</v>
          </cell>
          <cell r="D56">
            <v>0</v>
          </cell>
          <cell r="E56">
            <v>0</v>
          </cell>
          <cell r="F56">
            <v>0</v>
          </cell>
          <cell r="G56">
            <v>0</v>
          </cell>
          <cell r="H56">
            <v>0</v>
          </cell>
          <cell r="I56">
            <v>0</v>
          </cell>
          <cell r="J56">
            <v>0</v>
          </cell>
          <cell r="K56">
            <v>0</v>
          </cell>
          <cell r="L56">
            <v>0</v>
          </cell>
          <cell r="M56">
            <v>0</v>
          </cell>
          <cell r="N56">
            <v>0</v>
          </cell>
          <cell r="O56">
            <v>37986</v>
          </cell>
        </row>
        <row r="57">
          <cell r="A57" t="str">
            <v>AC22610</v>
          </cell>
          <cell r="B57">
            <v>5500</v>
          </cell>
          <cell r="C57">
            <v>5775</v>
          </cell>
          <cell r="D57">
            <v>6050</v>
          </cell>
          <cell r="E57">
            <v>6325</v>
          </cell>
          <cell r="F57">
            <v>6600</v>
          </cell>
          <cell r="G57">
            <v>6875</v>
          </cell>
          <cell r="H57">
            <v>7150</v>
          </cell>
          <cell r="I57">
            <v>7425</v>
          </cell>
          <cell r="J57">
            <v>7700</v>
          </cell>
          <cell r="K57">
            <v>7975</v>
          </cell>
          <cell r="L57">
            <v>8250</v>
          </cell>
          <cell r="M57">
            <v>8525</v>
          </cell>
          <cell r="N57">
            <v>8800</v>
          </cell>
          <cell r="O57">
            <v>37986</v>
          </cell>
        </row>
        <row r="58">
          <cell r="A58" t="str">
            <v>AC22820</v>
          </cell>
          <cell r="B58">
            <v>-212</v>
          </cell>
          <cell r="C58">
            <v>-371</v>
          </cell>
          <cell r="D58">
            <v>-373</v>
          </cell>
          <cell r="E58">
            <v>-351</v>
          </cell>
          <cell r="F58">
            <v>-352</v>
          </cell>
          <cell r="G58">
            <v>0</v>
          </cell>
          <cell r="H58">
            <v>0</v>
          </cell>
          <cell r="I58">
            <v>0</v>
          </cell>
          <cell r="J58">
            <v>0</v>
          </cell>
          <cell r="K58">
            <v>0</v>
          </cell>
          <cell r="L58">
            <v>0</v>
          </cell>
          <cell r="M58">
            <v>0</v>
          </cell>
          <cell r="N58">
            <v>0</v>
          </cell>
          <cell r="O58">
            <v>37986</v>
          </cell>
        </row>
        <row r="59">
          <cell r="A59" t="str">
            <v>AC22823</v>
          </cell>
          <cell r="B59">
            <v>-833</v>
          </cell>
          <cell r="C59">
            <v>-900</v>
          </cell>
          <cell r="D59">
            <v>-978</v>
          </cell>
          <cell r="E59">
            <v>-997</v>
          </cell>
          <cell r="F59">
            <v>-1042</v>
          </cell>
          <cell r="G59">
            <v>0</v>
          </cell>
          <cell r="H59">
            <v>0</v>
          </cell>
          <cell r="I59">
            <v>0</v>
          </cell>
          <cell r="J59">
            <v>0</v>
          </cell>
          <cell r="K59">
            <v>0</v>
          </cell>
          <cell r="L59">
            <v>0</v>
          </cell>
          <cell r="M59">
            <v>0</v>
          </cell>
          <cell r="N59">
            <v>0</v>
          </cell>
          <cell r="O59">
            <v>37986</v>
          </cell>
        </row>
        <row r="60">
          <cell r="A60" t="str">
            <v>AC22830</v>
          </cell>
          <cell r="B60">
            <v>-556</v>
          </cell>
          <cell r="C60">
            <v>-556</v>
          </cell>
          <cell r="D60">
            <v>-496</v>
          </cell>
          <cell r="E60">
            <v>-476</v>
          </cell>
          <cell r="F60">
            <v>-586</v>
          </cell>
          <cell r="G60">
            <v>0</v>
          </cell>
          <cell r="H60">
            <v>0</v>
          </cell>
          <cell r="I60">
            <v>0</v>
          </cell>
          <cell r="J60">
            <v>0</v>
          </cell>
          <cell r="K60">
            <v>0</v>
          </cell>
          <cell r="L60">
            <v>0</v>
          </cell>
          <cell r="M60">
            <v>0</v>
          </cell>
          <cell r="N60">
            <v>0</v>
          </cell>
          <cell r="O60">
            <v>37986</v>
          </cell>
        </row>
        <row r="61">
          <cell r="A61" t="str">
            <v>AC22831</v>
          </cell>
          <cell r="B61">
            <v>-292</v>
          </cell>
          <cell r="C61">
            <v>-263</v>
          </cell>
          <cell r="D61">
            <v>-231</v>
          </cell>
          <cell r="E61">
            <v>-203</v>
          </cell>
          <cell r="F61">
            <v>-181</v>
          </cell>
          <cell r="G61">
            <v>0</v>
          </cell>
          <cell r="H61">
            <v>0</v>
          </cell>
          <cell r="I61">
            <v>0</v>
          </cell>
          <cell r="J61">
            <v>0</v>
          </cell>
          <cell r="K61">
            <v>0</v>
          </cell>
          <cell r="L61">
            <v>0</v>
          </cell>
          <cell r="M61">
            <v>0</v>
          </cell>
          <cell r="N61">
            <v>0</v>
          </cell>
          <cell r="O61">
            <v>37986</v>
          </cell>
        </row>
        <row r="62">
          <cell r="A62" t="str">
            <v>AC22837</v>
          </cell>
          <cell r="B62">
            <v>-972</v>
          </cell>
          <cell r="C62">
            <v>-971</v>
          </cell>
          <cell r="D62">
            <v>-970</v>
          </cell>
          <cell r="E62">
            <v>-990</v>
          </cell>
          <cell r="F62">
            <v>-1030</v>
          </cell>
          <cell r="G62">
            <v>0</v>
          </cell>
          <cell r="H62">
            <v>0</v>
          </cell>
          <cell r="I62">
            <v>0</v>
          </cell>
          <cell r="J62">
            <v>0</v>
          </cell>
          <cell r="K62">
            <v>0</v>
          </cell>
          <cell r="L62">
            <v>0</v>
          </cell>
          <cell r="M62">
            <v>0</v>
          </cell>
          <cell r="N62">
            <v>0</v>
          </cell>
          <cell r="O62">
            <v>37986</v>
          </cell>
        </row>
        <row r="63">
          <cell r="A63" t="str">
            <v>AC229SE</v>
          </cell>
          <cell r="B63">
            <v>-6028</v>
          </cell>
          <cell r="C63">
            <v>-4363</v>
          </cell>
          <cell r="D63">
            <v>-3766</v>
          </cell>
          <cell r="E63">
            <v>-2926</v>
          </cell>
          <cell r="F63">
            <v>-1970</v>
          </cell>
          <cell r="G63">
            <v>0</v>
          </cell>
          <cell r="H63">
            <v>0</v>
          </cell>
          <cell r="I63">
            <v>0</v>
          </cell>
          <cell r="J63">
            <v>0</v>
          </cell>
          <cell r="K63">
            <v>0</v>
          </cell>
          <cell r="L63">
            <v>0</v>
          </cell>
          <cell r="M63">
            <v>0</v>
          </cell>
          <cell r="N63">
            <v>0</v>
          </cell>
          <cell r="O63">
            <v>37986</v>
          </cell>
        </row>
        <row r="64">
          <cell r="A64" t="str">
            <v>AC23101</v>
          </cell>
          <cell r="B64">
            <v>-10000000</v>
          </cell>
          <cell r="C64">
            <v>-10000000</v>
          </cell>
          <cell r="D64">
            <v>-15000000</v>
          </cell>
          <cell r="E64">
            <v>0</v>
          </cell>
          <cell r="F64">
            <v>-10000000</v>
          </cell>
          <cell r="G64">
            <v>-10000000</v>
          </cell>
          <cell r="H64">
            <v>-10000000</v>
          </cell>
          <cell r="I64">
            <v>-10000000</v>
          </cell>
          <cell r="J64">
            <v>-10000000</v>
          </cell>
          <cell r="K64">
            <v>0</v>
          </cell>
          <cell r="L64">
            <v>0</v>
          </cell>
          <cell r="M64">
            <v>-40000000</v>
          </cell>
          <cell r="N64">
            <v>-40000000</v>
          </cell>
          <cell r="O64">
            <v>37986</v>
          </cell>
        </row>
        <row r="65">
          <cell r="A65" t="str">
            <v>AC23227</v>
          </cell>
          <cell r="B65">
            <v>-150</v>
          </cell>
          <cell r="C65">
            <v>-150</v>
          </cell>
          <cell r="D65">
            <v>-150</v>
          </cell>
          <cell r="E65">
            <v>-210</v>
          </cell>
          <cell r="F65">
            <v>-210</v>
          </cell>
          <cell r="G65">
            <v>0</v>
          </cell>
          <cell r="H65">
            <v>0</v>
          </cell>
          <cell r="I65">
            <v>0</v>
          </cell>
          <cell r="J65">
            <v>0</v>
          </cell>
          <cell r="K65">
            <v>0</v>
          </cell>
          <cell r="L65">
            <v>0</v>
          </cell>
          <cell r="M65">
            <v>0</v>
          </cell>
          <cell r="N65">
            <v>0</v>
          </cell>
          <cell r="O65">
            <v>37986</v>
          </cell>
        </row>
        <row r="66">
          <cell r="A66" t="str">
            <v>AC23399</v>
          </cell>
          <cell r="B66">
            <v>0</v>
          </cell>
          <cell r="C66">
            <v>0</v>
          </cell>
          <cell r="D66">
            <v>-46300000</v>
          </cell>
          <cell r="E66">
            <v>-52900000</v>
          </cell>
          <cell r="F66">
            <v>-35900000</v>
          </cell>
          <cell r="G66">
            <v>-38000000</v>
          </cell>
          <cell r="H66">
            <v>-39600000</v>
          </cell>
          <cell r="I66">
            <v>-49600000</v>
          </cell>
          <cell r="J66">
            <v>-59700000</v>
          </cell>
          <cell r="K66">
            <v>-66000000</v>
          </cell>
          <cell r="L66">
            <v>-65700000</v>
          </cell>
          <cell r="M66">
            <v>-19800000</v>
          </cell>
          <cell r="N66">
            <v>-26000000</v>
          </cell>
          <cell r="O66">
            <v>37986</v>
          </cell>
        </row>
        <row r="67">
          <cell r="A67" t="str">
            <v>AC235</v>
          </cell>
          <cell r="B67">
            <v>-1348</v>
          </cell>
          <cell r="C67">
            <v>-1172</v>
          </cell>
          <cell r="D67">
            <v>-1054</v>
          </cell>
          <cell r="E67">
            <v>-917</v>
          </cell>
          <cell r="F67">
            <v>-676</v>
          </cell>
          <cell r="G67">
            <v>0</v>
          </cell>
          <cell r="H67">
            <v>0</v>
          </cell>
          <cell r="I67">
            <v>0</v>
          </cell>
          <cell r="J67">
            <v>0</v>
          </cell>
          <cell r="K67">
            <v>0</v>
          </cell>
          <cell r="L67">
            <v>0</v>
          </cell>
          <cell r="M67">
            <v>0</v>
          </cell>
          <cell r="N67">
            <v>0</v>
          </cell>
          <cell r="O67">
            <v>37986</v>
          </cell>
        </row>
        <row r="68">
          <cell r="A68" t="str">
            <v>AC23704</v>
          </cell>
          <cell r="B68">
            <v>-258333</v>
          </cell>
          <cell r="C68">
            <v>-258333</v>
          </cell>
          <cell r="D68">
            <v>-258333</v>
          </cell>
          <cell r="E68">
            <v>-258333</v>
          </cell>
          <cell r="F68">
            <v>-258333</v>
          </cell>
          <cell r="G68">
            <v>-258333</v>
          </cell>
          <cell r="H68">
            <v>-258333</v>
          </cell>
          <cell r="I68">
            <v>-258333</v>
          </cell>
          <cell r="J68">
            <v>-258333</v>
          </cell>
          <cell r="K68">
            <v>-258333</v>
          </cell>
          <cell r="L68">
            <v>-258333</v>
          </cell>
          <cell r="M68">
            <v>-258333</v>
          </cell>
          <cell r="N68">
            <v>0</v>
          </cell>
          <cell r="O68">
            <v>37986</v>
          </cell>
        </row>
        <row r="69">
          <cell r="A69" t="str">
            <v>AC23705</v>
          </cell>
          <cell r="B69">
            <v>-127553</v>
          </cell>
          <cell r="C69">
            <v>-127553</v>
          </cell>
          <cell r="D69">
            <v>-127553</v>
          </cell>
          <cell r="E69">
            <v>-135525</v>
          </cell>
          <cell r="F69">
            <v>-135525</v>
          </cell>
          <cell r="G69">
            <v>-135525</v>
          </cell>
          <cell r="H69">
            <v>-135525</v>
          </cell>
          <cell r="I69">
            <v>-135525</v>
          </cell>
          <cell r="J69">
            <v>-135525</v>
          </cell>
          <cell r="K69">
            <v>-135525</v>
          </cell>
          <cell r="L69">
            <v>-135525</v>
          </cell>
          <cell r="M69">
            <v>-135525</v>
          </cell>
          <cell r="N69">
            <v>0</v>
          </cell>
          <cell r="O69">
            <v>37986</v>
          </cell>
        </row>
        <row r="70">
          <cell r="A70" t="str">
            <v>AC23707</v>
          </cell>
          <cell r="B70">
            <v>-141333</v>
          </cell>
          <cell r="C70">
            <v>-141333</v>
          </cell>
          <cell r="D70">
            <v>-141333</v>
          </cell>
          <cell r="E70">
            <v>-141333</v>
          </cell>
          <cell r="F70">
            <v>-141333</v>
          </cell>
          <cell r="G70">
            <v>-141333</v>
          </cell>
          <cell r="H70">
            <v>-141333</v>
          </cell>
          <cell r="I70">
            <v>-141333</v>
          </cell>
          <cell r="J70">
            <v>-141333</v>
          </cell>
          <cell r="K70">
            <v>-141333</v>
          </cell>
          <cell r="L70">
            <v>-141333</v>
          </cell>
          <cell r="M70">
            <v>-141333</v>
          </cell>
          <cell r="N70">
            <v>0</v>
          </cell>
          <cell r="O70">
            <v>37986</v>
          </cell>
        </row>
        <row r="71">
          <cell r="A71" t="str">
            <v>AC23710</v>
          </cell>
          <cell r="B71">
            <v>-179750</v>
          </cell>
          <cell r="C71">
            <v>-179750</v>
          </cell>
          <cell r="D71">
            <v>-179750</v>
          </cell>
          <cell r="E71">
            <v>-179750</v>
          </cell>
          <cell r="F71">
            <v>-179750</v>
          </cell>
          <cell r="G71">
            <v>-179750</v>
          </cell>
          <cell r="H71">
            <v>-179750</v>
          </cell>
          <cell r="I71">
            <v>-179750</v>
          </cell>
          <cell r="J71">
            <v>-179750</v>
          </cell>
          <cell r="K71">
            <v>-179750</v>
          </cell>
          <cell r="L71">
            <v>-179750</v>
          </cell>
          <cell r="M71">
            <v>-179750</v>
          </cell>
          <cell r="N71">
            <v>0</v>
          </cell>
          <cell r="O71">
            <v>37986</v>
          </cell>
        </row>
        <row r="72">
          <cell r="A72" t="str">
            <v>AC23718</v>
          </cell>
          <cell r="B72">
            <v>-143833</v>
          </cell>
          <cell r="C72">
            <v>-143833</v>
          </cell>
          <cell r="D72">
            <v>-143833</v>
          </cell>
          <cell r="E72">
            <v>-143833</v>
          </cell>
          <cell r="F72">
            <v>-143833</v>
          </cell>
          <cell r="G72">
            <v>-143833</v>
          </cell>
          <cell r="H72">
            <v>-143833</v>
          </cell>
          <cell r="I72">
            <v>-143833</v>
          </cell>
          <cell r="J72">
            <v>-143833</v>
          </cell>
          <cell r="K72">
            <v>-143833</v>
          </cell>
          <cell r="L72">
            <v>-143833</v>
          </cell>
          <cell r="M72">
            <v>-143833</v>
          </cell>
          <cell r="N72">
            <v>0</v>
          </cell>
          <cell r="O72">
            <v>37986</v>
          </cell>
        </row>
        <row r="73">
          <cell r="A73" t="str">
            <v>AC23719</v>
          </cell>
          <cell r="B73">
            <v>-112500</v>
          </cell>
          <cell r="C73">
            <v>-112500</v>
          </cell>
          <cell r="D73">
            <v>-112500</v>
          </cell>
          <cell r="E73">
            <v>-112500</v>
          </cell>
          <cell r="F73">
            <v>-112500</v>
          </cell>
          <cell r="G73">
            <v>-112500</v>
          </cell>
          <cell r="H73">
            <v>-112500</v>
          </cell>
          <cell r="I73">
            <v>-112500</v>
          </cell>
          <cell r="J73">
            <v>-112500</v>
          </cell>
          <cell r="K73">
            <v>-112500</v>
          </cell>
          <cell r="L73">
            <v>-112500</v>
          </cell>
          <cell r="M73">
            <v>-112500</v>
          </cell>
          <cell r="N73">
            <v>0</v>
          </cell>
          <cell r="O73">
            <v>37986</v>
          </cell>
        </row>
        <row r="74">
          <cell r="A74" t="str">
            <v>AC24203</v>
          </cell>
          <cell r="B74">
            <v>0</v>
          </cell>
          <cell r="C74">
            <v>0</v>
          </cell>
          <cell r="D74">
            <v>0</v>
          </cell>
          <cell r="E74">
            <v>0</v>
          </cell>
          <cell r="F74">
            <v>0</v>
          </cell>
          <cell r="G74">
            <v>0</v>
          </cell>
          <cell r="H74">
            <v>0</v>
          </cell>
          <cell r="I74">
            <v>0</v>
          </cell>
          <cell r="J74">
            <v>0</v>
          </cell>
          <cell r="K74">
            <v>0</v>
          </cell>
          <cell r="L74">
            <v>0</v>
          </cell>
          <cell r="M74">
            <v>0</v>
          </cell>
          <cell r="N74">
            <v>0</v>
          </cell>
          <cell r="O74">
            <v>37986</v>
          </cell>
        </row>
        <row r="75">
          <cell r="A75" t="str">
            <v>AC252</v>
          </cell>
          <cell r="B75">
            <v>0</v>
          </cell>
          <cell r="C75">
            <v>0</v>
          </cell>
          <cell r="D75">
            <v>0</v>
          </cell>
          <cell r="E75">
            <v>0</v>
          </cell>
          <cell r="F75">
            <v>-236</v>
          </cell>
          <cell r="G75">
            <v>0</v>
          </cell>
          <cell r="H75">
            <v>0</v>
          </cell>
          <cell r="I75">
            <v>0</v>
          </cell>
          <cell r="J75">
            <v>0</v>
          </cell>
          <cell r="K75">
            <v>0</v>
          </cell>
          <cell r="L75">
            <v>0</v>
          </cell>
          <cell r="M75">
            <v>0</v>
          </cell>
          <cell r="N75">
            <v>0</v>
          </cell>
          <cell r="O75">
            <v>37986</v>
          </cell>
        </row>
        <row r="76">
          <cell r="A76" t="str">
            <v>AC254DK</v>
          </cell>
          <cell r="B76">
            <v>3293</v>
          </cell>
          <cell r="C76">
            <v>3041</v>
          </cell>
          <cell r="D76">
            <v>3046</v>
          </cell>
          <cell r="E76">
            <v>-2250</v>
          </cell>
          <cell r="F76">
            <v>-3152</v>
          </cell>
          <cell r="G76">
            <v>0</v>
          </cell>
          <cell r="H76">
            <v>0</v>
          </cell>
          <cell r="I76">
            <v>0</v>
          </cell>
          <cell r="J76">
            <v>0</v>
          </cell>
          <cell r="K76">
            <v>0</v>
          </cell>
          <cell r="L76">
            <v>0</v>
          </cell>
          <cell r="M76">
            <v>0</v>
          </cell>
          <cell r="N76">
            <v>0</v>
          </cell>
          <cell r="O76">
            <v>37986</v>
          </cell>
        </row>
        <row r="77">
          <cell r="A77" t="str">
            <v>AC282</v>
          </cell>
          <cell r="B77">
            <v>-82357</v>
          </cell>
          <cell r="C77">
            <v>-84048</v>
          </cell>
          <cell r="D77">
            <v>-79615</v>
          </cell>
          <cell r="E77">
            <v>-77014</v>
          </cell>
          <cell r="F77">
            <v>-68270</v>
          </cell>
          <cell r="G77">
            <v>0</v>
          </cell>
          <cell r="H77">
            <v>0</v>
          </cell>
          <cell r="I77">
            <v>0</v>
          </cell>
          <cell r="J77">
            <v>0</v>
          </cell>
          <cell r="K77">
            <v>0</v>
          </cell>
          <cell r="L77">
            <v>0</v>
          </cell>
          <cell r="M77">
            <v>0</v>
          </cell>
          <cell r="N77">
            <v>0</v>
          </cell>
          <cell r="O77">
            <v>37986</v>
          </cell>
        </row>
        <row r="78">
          <cell r="A78" t="str">
            <v>AC282DK</v>
          </cell>
          <cell r="B78">
            <v>-6789</v>
          </cell>
          <cell r="C78">
            <v>-9039</v>
          </cell>
          <cell r="D78">
            <v>-8326</v>
          </cell>
          <cell r="E78">
            <v>-7611</v>
          </cell>
          <cell r="F78">
            <v>-1319</v>
          </cell>
          <cell r="G78">
            <v>0</v>
          </cell>
          <cell r="H78">
            <v>0</v>
          </cell>
          <cell r="I78">
            <v>0</v>
          </cell>
          <cell r="J78">
            <v>0</v>
          </cell>
          <cell r="K78">
            <v>0</v>
          </cell>
          <cell r="L78">
            <v>0</v>
          </cell>
          <cell r="M78">
            <v>0</v>
          </cell>
          <cell r="N78">
            <v>0</v>
          </cell>
          <cell r="O78">
            <v>37986</v>
          </cell>
        </row>
        <row r="79">
          <cell r="A79" t="str">
            <v>AC283DG</v>
          </cell>
          <cell r="B79">
            <v>-2816</v>
          </cell>
          <cell r="C79">
            <v>-4229</v>
          </cell>
          <cell r="D79">
            <v>-3503</v>
          </cell>
          <cell r="E79">
            <v>-3554</v>
          </cell>
          <cell r="F79">
            <v>638</v>
          </cell>
          <cell r="G79">
            <v>0</v>
          </cell>
          <cell r="H79">
            <v>0</v>
          </cell>
          <cell r="I79">
            <v>0</v>
          </cell>
          <cell r="J79">
            <v>0</v>
          </cell>
          <cell r="K79">
            <v>0</v>
          </cell>
          <cell r="L79">
            <v>0</v>
          </cell>
          <cell r="M79">
            <v>0</v>
          </cell>
          <cell r="N79">
            <v>0</v>
          </cell>
          <cell r="O79">
            <v>37986</v>
          </cell>
        </row>
        <row r="80">
          <cell r="A80" t="str">
            <v>AC283DK</v>
          </cell>
          <cell r="B80">
            <v>-2159</v>
          </cell>
          <cell r="C80">
            <v>-1955</v>
          </cell>
          <cell r="D80">
            <v>-1617</v>
          </cell>
          <cell r="E80">
            <v>-2406</v>
          </cell>
          <cell r="F80">
            <v>-2375</v>
          </cell>
          <cell r="G80">
            <v>0</v>
          </cell>
          <cell r="H80">
            <v>0</v>
          </cell>
          <cell r="I80">
            <v>0</v>
          </cell>
          <cell r="J80">
            <v>0</v>
          </cell>
          <cell r="K80">
            <v>0</v>
          </cell>
          <cell r="L80">
            <v>0</v>
          </cell>
          <cell r="M80">
            <v>0</v>
          </cell>
          <cell r="N80">
            <v>0</v>
          </cell>
          <cell r="O80">
            <v>37986</v>
          </cell>
        </row>
        <row r="81">
          <cell r="A81" t="str">
            <v>AC400</v>
          </cell>
          <cell r="B81">
            <v>-355540018</v>
          </cell>
          <cell r="C81">
            <v>0</v>
          </cell>
          <cell r="D81">
            <v>0</v>
          </cell>
          <cell r="E81">
            <v>0</v>
          </cell>
          <cell r="F81">
            <v>0</v>
          </cell>
          <cell r="G81">
            <v>0</v>
          </cell>
          <cell r="H81">
            <v>0</v>
          </cell>
          <cell r="I81">
            <v>0</v>
          </cell>
          <cell r="J81">
            <v>0</v>
          </cell>
          <cell r="K81">
            <v>0</v>
          </cell>
          <cell r="L81">
            <v>0</v>
          </cell>
          <cell r="M81">
            <v>0</v>
          </cell>
          <cell r="N81">
            <v>0</v>
          </cell>
          <cell r="O81">
            <v>37986</v>
          </cell>
        </row>
        <row r="82">
          <cell r="A82" t="str">
            <v>AC41121</v>
          </cell>
          <cell r="B82">
            <v>-515362</v>
          </cell>
          <cell r="C82">
            <v>0</v>
          </cell>
          <cell r="D82">
            <v>0</v>
          </cell>
          <cell r="E82">
            <v>0</v>
          </cell>
          <cell r="F82">
            <v>0</v>
          </cell>
          <cell r="G82">
            <v>0</v>
          </cell>
          <cell r="H82">
            <v>0</v>
          </cell>
          <cell r="I82">
            <v>0</v>
          </cell>
          <cell r="J82">
            <v>0</v>
          </cell>
          <cell r="K82">
            <v>0</v>
          </cell>
          <cell r="L82">
            <v>0</v>
          </cell>
          <cell r="M82">
            <v>0</v>
          </cell>
          <cell r="N82">
            <v>0</v>
          </cell>
          <cell r="O82">
            <v>37986</v>
          </cell>
        </row>
        <row r="83">
          <cell r="A83" t="str">
            <v>AC42700</v>
          </cell>
          <cell r="B83">
            <v>963303</v>
          </cell>
          <cell r="C83">
            <v>963303</v>
          </cell>
          <cell r="D83">
            <v>971275</v>
          </cell>
          <cell r="E83">
            <v>971275</v>
          </cell>
          <cell r="F83">
            <v>971275</v>
          </cell>
          <cell r="G83">
            <v>971275</v>
          </cell>
          <cell r="H83">
            <v>971275</v>
          </cell>
          <cell r="I83">
            <v>971275</v>
          </cell>
          <cell r="J83">
            <v>971275</v>
          </cell>
          <cell r="K83">
            <v>971275</v>
          </cell>
          <cell r="L83">
            <v>971275</v>
          </cell>
          <cell r="M83">
            <v>971275</v>
          </cell>
          <cell r="N83">
            <v>971275</v>
          </cell>
          <cell r="O83">
            <v>37986</v>
          </cell>
        </row>
        <row r="84">
          <cell r="A84" t="str">
            <v>AC43000</v>
          </cell>
          <cell r="B84">
            <v>54392</v>
          </cell>
          <cell r="C84">
            <v>51210</v>
          </cell>
          <cell r="D84">
            <v>39951</v>
          </cell>
          <cell r="E84">
            <v>40336</v>
          </cell>
          <cell r="F84">
            <v>15325</v>
          </cell>
          <cell r="G84">
            <v>31477</v>
          </cell>
          <cell r="H84">
            <v>44455</v>
          </cell>
          <cell r="I84">
            <v>48659</v>
          </cell>
          <cell r="J84">
            <v>57811</v>
          </cell>
          <cell r="K84">
            <v>68353</v>
          </cell>
          <cell r="L84">
            <v>57361</v>
          </cell>
          <cell r="M84">
            <v>27180</v>
          </cell>
          <cell r="N84">
            <v>31008</v>
          </cell>
          <cell r="O84">
            <v>37986</v>
          </cell>
        </row>
        <row r="85">
          <cell r="A85" t="str">
            <v>AC43101</v>
          </cell>
          <cell r="B85">
            <v>14715</v>
          </cell>
          <cell r="C85">
            <v>18332</v>
          </cell>
          <cell r="D85">
            <v>7125</v>
          </cell>
          <cell r="E85">
            <v>4781</v>
          </cell>
          <cell r="F85">
            <v>16469</v>
          </cell>
          <cell r="G85">
            <v>16094</v>
          </cell>
          <cell r="H85">
            <v>17007</v>
          </cell>
          <cell r="I85">
            <v>15526</v>
          </cell>
          <cell r="J85">
            <v>11904</v>
          </cell>
          <cell r="K85">
            <v>0</v>
          </cell>
          <cell r="L85">
            <v>10354</v>
          </cell>
          <cell r="M85">
            <v>91813</v>
          </cell>
          <cell r="N85">
            <v>88278</v>
          </cell>
          <cell r="O85">
            <v>37986</v>
          </cell>
        </row>
        <row r="86">
          <cell r="A86" t="str">
            <v>AC43103</v>
          </cell>
          <cell r="B86">
            <v>27485</v>
          </cell>
          <cell r="C86">
            <v>30866</v>
          </cell>
          <cell r="D86">
            <v>30866</v>
          </cell>
          <cell r="E86">
            <v>34859</v>
          </cell>
          <cell r="F86">
            <v>28869</v>
          </cell>
          <cell r="G86">
            <v>28869</v>
          </cell>
          <cell r="H86">
            <v>27592</v>
          </cell>
          <cell r="I86">
            <v>29508</v>
          </cell>
          <cell r="J86">
            <v>29508</v>
          </cell>
          <cell r="K86">
            <v>12402</v>
          </cell>
          <cell r="L86">
            <v>45987</v>
          </cell>
          <cell r="M86">
            <v>10510</v>
          </cell>
          <cell r="N86">
            <v>14940</v>
          </cell>
          <cell r="O86">
            <v>37986</v>
          </cell>
        </row>
        <row r="87">
          <cell r="A87" t="str">
            <v>AC43105</v>
          </cell>
          <cell r="B87">
            <v>1686</v>
          </cell>
          <cell r="C87">
            <v>1609</v>
          </cell>
          <cell r="D87">
            <v>1558</v>
          </cell>
          <cell r="E87">
            <v>1469</v>
          </cell>
          <cell r="F87">
            <v>1401</v>
          </cell>
          <cell r="G87">
            <v>1344</v>
          </cell>
          <cell r="H87">
            <v>1322</v>
          </cell>
          <cell r="I87">
            <v>1274</v>
          </cell>
          <cell r="J87">
            <v>1204</v>
          </cell>
          <cell r="K87">
            <v>-4214</v>
          </cell>
          <cell r="L87">
            <v>1701</v>
          </cell>
          <cell r="M87">
            <v>1558</v>
          </cell>
          <cell r="N87">
            <v>1358</v>
          </cell>
          <cell r="O87">
            <v>37986</v>
          </cell>
        </row>
        <row r="88">
          <cell r="A88" t="str">
            <v>AC43198</v>
          </cell>
          <cell r="B88">
            <v>0</v>
          </cell>
          <cell r="C88">
            <v>10907</v>
          </cell>
          <cell r="D88">
            <v>29105</v>
          </cell>
          <cell r="E88">
            <v>50099</v>
          </cell>
          <cell r="F88">
            <v>40193</v>
          </cell>
          <cell r="G88">
            <v>22579</v>
          </cell>
          <cell r="H88">
            <v>39674</v>
          </cell>
          <cell r="I88">
            <v>33381</v>
          </cell>
          <cell r="J88">
            <v>-249617</v>
          </cell>
          <cell r="K88">
            <v>86524</v>
          </cell>
          <cell r="L88">
            <v>39983</v>
          </cell>
          <cell r="M88">
            <v>17714</v>
          </cell>
          <cell r="N88">
            <v>7652</v>
          </cell>
          <cell r="O88">
            <v>37986</v>
          </cell>
        </row>
        <row r="89">
          <cell r="A89" t="str">
            <v>AC43199</v>
          </cell>
          <cell r="B89">
            <v>1090</v>
          </cell>
          <cell r="C89">
            <v>0</v>
          </cell>
          <cell r="D89">
            <v>-548</v>
          </cell>
          <cell r="E89">
            <v>718</v>
          </cell>
          <cell r="F89">
            <v>4293</v>
          </cell>
          <cell r="G89">
            <v>0</v>
          </cell>
          <cell r="H89">
            <v>846</v>
          </cell>
          <cell r="I89">
            <v>0</v>
          </cell>
          <cell r="J89">
            <v>94</v>
          </cell>
          <cell r="K89">
            <v>6562</v>
          </cell>
          <cell r="L89">
            <v>18047</v>
          </cell>
          <cell r="M89">
            <v>18052</v>
          </cell>
          <cell r="N89">
            <v>19699</v>
          </cell>
          <cell r="O89">
            <v>37986</v>
          </cell>
        </row>
        <row r="90">
          <cell r="A90" t="str">
            <v>ALLWROE</v>
          </cell>
          <cell r="B90">
            <v>11</v>
          </cell>
          <cell r="C90">
            <v>11</v>
          </cell>
          <cell r="D90">
            <v>11</v>
          </cell>
          <cell r="E90">
            <v>11</v>
          </cell>
          <cell r="F90">
            <v>11</v>
          </cell>
          <cell r="G90">
            <v>0</v>
          </cell>
          <cell r="H90">
            <v>0</v>
          </cell>
          <cell r="I90">
            <v>0</v>
          </cell>
          <cell r="J90">
            <v>0</v>
          </cell>
          <cell r="K90">
            <v>0</v>
          </cell>
          <cell r="L90">
            <v>0</v>
          </cell>
          <cell r="M90">
            <v>0</v>
          </cell>
          <cell r="N90">
            <v>0</v>
          </cell>
          <cell r="O90">
            <v>37986</v>
          </cell>
        </row>
        <row r="91">
          <cell r="A91" t="str">
            <v>CALCROE</v>
          </cell>
          <cell r="B91">
            <v>0</v>
          </cell>
          <cell r="C91">
            <v>0</v>
          </cell>
          <cell r="D91">
            <v>11.35658207047654</v>
          </cell>
          <cell r="E91">
            <v>0</v>
          </cell>
          <cell r="F91">
            <v>11.417244796828545</v>
          </cell>
          <cell r="G91">
            <v>0</v>
          </cell>
          <cell r="H91">
            <v>0</v>
          </cell>
          <cell r="I91">
            <v>0</v>
          </cell>
          <cell r="J91">
            <v>0</v>
          </cell>
          <cell r="K91">
            <v>0</v>
          </cell>
          <cell r="L91">
            <v>0</v>
          </cell>
          <cell r="M91">
            <v>0</v>
          </cell>
          <cell r="N91">
            <v>0</v>
          </cell>
          <cell r="O91">
            <v>37986</v>
          </cell>
        </row>
        <row r="92">
          <cell r="A92" t="str">
            <v>EFFTXRT</v>
          </cell>
          <cell r="B92">
            <v>40.85</v>
          </cell>
          <cell r="C92">
            <v>40.85</v>
          </cell>
          <cell r="D92">
            <v>40.85</v>
          </cell>
          <cell r="E92">
            <v>40.85</v>
          </cell>
          <cell r="F92">
            <v>39.875</v>
          </cell>
          <cell r="G92">
            <v>0</v>
          </cell>
          <cell r="H92">
            <v>0</v>
          </cell>
          <cell r="I92">
            <v>0</v>
          </cell>
          <cell r="J92">
            <v>0</v>
          </cell>
          <cell r="K92">
            <v>0</v>
          </cell>
          <cell r="L92">
            <v>0</v>
          </cell>
          <cell r="M92">
            <v>0</v>
          </cell>
          <cell r="N92">
            <v>0</v>
          </cell>
          <cell r="O92">
            <v>37986</v>
          </cell>
        </row>
        <row r="93">
          <cell r="A93" t="str">
            <v>GWADJ</v>
          </cell>
          <cell r="B93">
            <v>0</v>
          </cell>
          <cell r="C93">
            <v>0</v>
          </cell>
          <cell r="D93">
            <v>0</v>
          </cell>
          <cell r="E93">
            <v>0</v>
          </cell>
          <cell r="F93">
            <v>0</v>
          </cell>
          <cell r="G93">
            <v>0</v>
          </cell>
          <cell r="H93">
            <v>0</v>
          </cell>
          <cell r="I93">
            <v>0</v>
          </cell>
          <cell r="J93">
            <v>0</v>
          </cell>
          <cell r="K93">
            <v>0</v>
          </cell>
          <cell r="L93">
            <v>0</v>
          </cell>
          <cell r="M93">
            <v>0</v>
          </cell>
          <cell r="N93">
            <v>0</v>
          </cell>
          <cell r="O93">
            <v>37986</v>
          </cell>
        </row>
        <row r="94">
          <cell r="A94" t="str">
            <v>IS1000</v>
          </cell>
          <cell r="B94">
            <v>22229</v>
          </cell>
          <cell r="C94">
            <v>0</v>
          </cell>
          <cell r="D94">
            <v>0</v>
          </cell>
          <cell r="E94">
            <v>0</v>
          </cell>
          <cell r="F94">
            <v>0</v>
          </cell>
          <cell r="G94">
            <v>0</v>
          </cell>
          <cell r="H94">
            <v>0</v>
          </cell>
          <cell r="I94">
            <v>0</v>
          </cell>
          <cell r="J94">
            <v>0</v>
          </cell>
          <cell r="K94">
            <v>0</v>
          </cell>
          <cell r="L94">
            <v>0</v>
          </cell>
          <cell r="M94">
            <v>0</v>
          </cell>
          <cell r="N94">
            <v>0</v>
          </cell>
          <cell r="O94">
            <v>37986</v>
          </cell>
        </row>
        <row r="95">
          <cell r="A95" t="str">
            <v>IS1200</v>
          </cell>
          <cell r="B95">
            <v>880</v>
          </cell>
          <cell r="C95">
            <v>0</v>
          </cell>
          <cell r="D95">
            <v>0</v>
          </cell>
          <cell r="E95">
            <v>0</v>
          </cell>
          <cell r="F95">
            <v>0</v>
          </cell>
          <cell r="G95">
            <v>0</v>
          </cell>
          <cell r="H95">
            <v>0</v>
          </cell>
          <cell r="I95">
            <v>0</v>
          </cell>
          <cell r="J95">
            <v>0</v>
          </cell>
          <cell r="K95">
            <v>0</v>
          </cell>
          <cell r="L95">
            <v>0</v>
          </cell>
          <cell r="M95">
            <v>0</v>
          </cell>
          <cell r="N95">
            <v>0</v>
          </cell>
          <cell r="O95">
            <v>37986</v>
          </cell>
        </row>
        <row r="96">
          <cell r="A96" t="str">
            <v>IS1400</v>
          </cell>
          <cell r="B96">
            <v>-3347</v>
          </cell>
          <cell r="C96">
            <v>0</v>
          </cell>
          <cell r="D96">
            <v>0</v>
          </cell>
          <cell r="E96">
            <v>0</v>
          </cell>
          <cell r="F96">
            <v>0</v>
          </cell>
          <cell r="G96">
            <v>0</v>
          </cell>
          <cell r="H96">
            <v>0</v>
          </cell>
          <cell r="I96">
            <v>0</v>
          </cell>
          <cell r="J96">
            <v>0</v>
          </cell>
          <cell r="K96">
            <v>0</v>
          </cell>
          <cell r="L96">
            <v>0</v>
          </cell>
          <cell r="M96">
            <v>0</v>
          </cell>
          <cell r="N96">
            <v>0</v>
          </cell>
          <cell r="O96">
            <v>37986</v>
          </cell>
        </row>
        <row r="97">
          <cell r="A97" t="str">
            <v>IS1500</v>
          </cell>
          <cell r="B97">
            <v>15637</v>
          </cell>
          <cell r="C97">
            <v>0</v>
          </cell>
          <cell r="D97">
            <v>0</v>
          </cell>
          <cell r="E97">
            <v>0</v>
          </cell>
          <cell r="F97">
            <v>0</v>
          </cell>
          <cell r="G97">
            <v>0</v>
          </cell>
          <cell r="H97">
            <v>0</v>
          </cell>
          <cell r="I97">
            <v>0</v>
          </cell>
          <cell r="J97">
            <v>0</v>
          </cell>
          <cell r="K97">
            <v>0</v>
          </cell>
          <cell r="L97">
            <v>0</v>
          </cell>
          <cell r="M97">
            <v>0</v>
          </cell>
          <cell r="N97">
            <v>0</v>
          </cell>
          <cell r="O97">
            <v>37986</v>
          </cell>
        </row>
        <row r="98">
          <cell r="A98" t="str">
            <v>IS1600</v>
          </cell>
          <cell r="B98">
            <v>-4247</v>
          </cell>
          <cell r="C98">
            <v>0</v>
          </cell>
          <cell r="D98">
            <v>0</v>
          </cell>
          <cell r="E98">
            <v>0</v>
          </cell>
          <cell r="F98">
            <v>0</v>
          </cell>
          <cell r="G98">
            <v>0</v>
          </cell>
          <cell r="H98">
            <v>0</v>
          </cell>
          <cell r="I98">
            <v>0</v>
          </cell>
          <cell r="J98">
            <v>0</v>
          </cell>
          <cell r="K98">
            <v>0</v>
          </cell>
          <cell r="L98">
            <v>0</v>
          </cell>
          <cell r="M98">
            <v>0</v>
          </cell>
          <cell r="N98">
            <v>0</v>
          </cell>
          <cell r="O98">
            <v>37986</v>
          </cell>
        </row>
        <row r="99">
          <cell r="A99" t="str">
            <v>IS1700</v>
          </cell>
          <cell r="B99">
            <v>-377</v>
          </cell>
          <cell r="C99">
            <v>0</v>
          </cell>
          <cell r="D99">
            <v>0</v>
          </cell>
          <cell r="E99">
            <v>0</v>
          </cell>
          <cell r="F99">
            <v>0</v>
          </cell>
          <cell r="G99">
            <v>0</v>
          </cell>
          <cell r="H99">
            <v>0</v>
          </cell>
          <cell r="I99">
            <v>0</v>
          </cell>
          <cell r="J99">
            <v>0</v>
          </cell>
          <cell r="K99">
            <v>0</v>
          </cell>
          <cell r="L99">
            <v>0</v>
          </cell>
          <cell r="M99">
            <v>0</v>
          </cell>
          <cell r="N99">
            <v>0</v>
          </cell>
          <cell r="O99">
            <v>37986</v>
          </cell>
        </row>
        <row r="100">
          <cell r="A100" t="str">
            <v>IS1800</v>
          </cell>
          <cell r="B100">
            <v>16042</v>
          </cell>
          <cell r="C100">
            <v>0</v>
          </cell>
          <cell r="D100">
            <v>0</v>
          </cell>
          <cell r="E100">
            <v>0</v>
          </cell>
          <cell r="F100">
            <v>0</v>
          </cell>
          <cell r="G100">
            <v>0</v>
          </cell>
          <cell r="H100">
            <v>0</v>
          </cell>
          <cell r="I100">
            <v>0</v>
          </cell>
          <cell r="J100">
            <v>0</v>
          </cell>
          <cell r="K100">
            <v>0</v>
          </cell>
          <cell r="L100">
            <v>0</v>
          </cell>
          <cell r="M100">
            <v>0</v>
          </cell>
          <cell r="N100">
            <v>0</v>
          </cell>
          <cell r="O100">
            <v>37986</v>
          </cell>
        </row>
        <row r="101">
          <cell r="A101" t="str">
            <v>IS1900</v>
          </cell>
          <cell r="B101">
            <v>8350</v>
          </cell>
          <cell r="C101">
            <v>0</v>
          </cell>
          <cell r="D101">
            <v>0</v>
          </cell>
          <cell r="E101">
            <v>0</v>
          </cell>
          <cell r="F101">
            <v>0</v>
          </cell>
          <cell r="G101">
            <v>0</v>
          </cell>
          <cell r="H101">
            <v>0</v>
          </cell>
          <cell r="I101">
            <v>0</v>
          </cell>
          <cell r="J101">
            <v>0</v>
          </cell>
          <cell r="K101">
            <v>0</v>
          </cell>
          <cell r="L101">
            <v>0</v>
          </cell>
          <cell r="M101">
            <v>0</v>
          </cell>
          <cell r="N101">
            <v>0</v>
          </cell>
          <cell r="O101">
            <v>37986</v>
          </cell>
        </row>
        <row r="102">
          <cell r="A102" t="str">
            <v>IS2000</v>
          </cell>
          <cell r="B102">
            <v>-515</v>
          </cell>
          <cell r="C102">
            <v>0</v>
          </cell>
          <cell r="D102">
            <v>0</v>
          </cell>
          <cell r="E102">
            <v>0</v>
          </cell>
          <cell r="F102">
            <v>0</v>
          </cell>
          <cell r="G102">
            <v>0</v>
          </cell>
          <cell r="H102">
            <v>0</v>
          </cell>
          <cell r="I102">
            <v>0</v>
          </cell>
          <cell r="J102">
            <v>0</v>
          </cell>
          <cell r="K102">
            <v>0</v>
          </cell>
          <cell r="L102">
            <v>0</v>
          </cell>
          <cell r="M102">
            <v>0</v>
          </cell>
          <cell r="N102">
            <v>0</v>
          </cell>
          <cell r="O102">
            <v>37986</v>
          </cell>
        </row>
        <row r="103">
          <cell r="A103" t="str">
            <v>IS2100</v>
          </cell>
          <cell r="B103">
            <v>327700</v>
          </cell>
          <cell r="C103">
            <v>0</v>
          </cell>
          <cell r="D103">
            <v>0</v>
          </cell>
          <cell r="E103">
            <v>0</v>
          </cell>
          <cell r="F103">
            <v>0</v>
          </cell>
          <cell r="G103">
            <v>0</v>
          </cell>
          <cell r="H103">
            <v>0</v>
          </cell>
          <cell r="I103">
            <v>0</v>
          </cell>
          <cell r="J103">
            <v>0</v>
          </cell>
          <cell r="K103">
            <v>0</v>
          </cell>
          <cell r="L103">
            <v>0</v>
          </cell>
          <cell r="M103">
            <v>0</v>
          </cell>
          <cell r="N103">
            <v>0</v>
          </cell>
          <cell r="O103">
            <v>37986</v>
          </cell>
        </row>
        <row r="104">
          <cell r="A104" t="str">
            <v>IS2200</v>
          </cell>
          <cell r="B104">
            <v>-27840</v>
          </cell>
          <cell r="C104">
            <v>0</v>
          </cell>
          <cell r="D104">
            <v>0</v>
          </cell>
          <cell r="E104">
            <v>0</v>
          </cell>
          <cell r="F104">
            <v>0</v>
          </cell>
          <cell r="G104">
            <v>0</v>
          </cell>
          <cell r="H104">
            <v>0</v>
          </cell>
          <cell r="I104">
            <v>0</v>
          </cell>
          <cell r="J104">
            <v>0</v>
          </cell>
          <cell r="K104">
            <v>0</v>
          </cell>
          <cell r="L104">
            <v>0</v>
          </cell>
          <cell r="M104">
            <v>0</v>
          </cell>
          <cell r="N104">
            <v>0</v>
          </cell>
          <cell r="O104">
            <v>37986</v>
          </cell>
        </row>
        <row r="105">
          <cell r="A105" t="str">
            <v>IS2400</v>
          </cell>
          <cell r="B105">
            <v>-116</v>
          </cell>
          <cell r="C105">
            <v>0</v>
          </cell>
          <cell r="D105">
            <v>0</v>
          </cell>
          <cell r="E105">
            <v>0</v>
          </cell>
          <cell r="F105">
            <v>0</v>
          </cell>
          <cell r="G105">
            <v>0</v>
          </cell>
          <cell r="H105">
            <v>0</v>
          </cell>
          <cell r="I105">
            <v>0</v>
          </cell>
          <cell r="J105">
            <v>0</v>
          </cell>
          <cell r="K105">
            <v>0</v>
          </cell>
          <cell r="L105">
            <v>0</v>
          </cell>
          <cell r="M105">
            <v>0</v>
          </cell>
          <cell r="N105">
            <v>0</v>
          </cell>
          <cell r="O105">
            <v>37986</v>
          </cell>
        </row>
        <row r="106">
          <cell r="A106" t="str">
            <v>IS2800</v>
          </cell>
          <cell r="B106">
            <v>1776</v>
          </cell>
          <cell r="C106">
            <v>0</v>
          </cell>
          <cell r="D106">
            <v>0</v>
          </cell>
          <cell r="E106">
            <v>0</v>
          </cell>
          <cell r="F106">
            <v>0</v>
          </cell>
          <cell r="G106">
            <v>0</v>
          </cell>
          <cell r="H106">
            <v>0</v>
          </cell>
          <cell r="I106">
            <v>0</v>
          </cell>
          <cell r="J106">
            <v>0</v>
          </cell>
          <cell r="K106">
            <v>0</v>
          </cell>
          <cell r="L106">
            <v>0</v>
          </cell>
          <cell r="M106">
            <v>0</v>
          </cell>
          <cell r="N106">
            <v>0</v>
          </cell>
          <cell r="O106">
            <v>37986</v>
          </cell>
        </row>
        <row r="107">
          <cell r="A107" t="str">
            <v>IS2900</v>
          </cell>
          <cell r="B107">
            <v>-1728</v>
          </cell>
          <cell r="C107">
            <v>0</v>
          </cell>
          <cell r="D107">
            <v>0</v>
          </cell>
          <cell r="E107">
            <v>0</v>
          </cell>
          <cell r="F107">
            <v>0</v>
          </cell>
          <cell r="G107">
            <v>0</v>
          </cell>
          <cell r="H107">
            <v>0</v>
          </cell>
          <cell r="I107">
            <v>0</v>
          </cell>
          <cell r="J107">
            <v>0</v>
          </cell>
          <cell r="K107">
            <v>0</v>
          </cell>
          <cell r="L107">
            <v>0</v>
          </cell>
          <cell r="M107">
            <v>0</v>
          </cell>
          <cell r="N107">
            <v>0</v>
          </cell>
          <cell r="O107">
            <v>37986</v>
          </cell>
        </row>
        <row r="108">
          <cell r="A108" t="str">
            <v>IS3000</v>
          </cell>
          <cell r="B108">
            <v>-123</v>
          </cell>
          <cell r="C108">
            <v>0</v>
          </cell>
          <cell r="D108">
            <v>0</v>
          </cell>
          <cell r="E108">
            <v>0</v>
          </cell>
          <cell r="F108">
            <v>0</v>
          </cell>
          <cell r="G108">
            <v>0</v>
          </cell>
          <cell r="H108">
            <v>0</v>
          </cell>
          <cell r="I108">
            <v>0</v>
          </cell>
          <cell r="J108">
            <v>0</v>
          </cell>
          <cell r="K108">
            <v>0</v>
          </cell>
          <cell r="L108">
            <v>0</v>
          </cell>
          <cell r="M108">
            <v>0</v>
          </cell>
          <cell r="N108">
            <v>0</v>
          </cell>
          <cell r="O108">
            <v>37986</v>
          </cell>
        </row>
        <row r="109">
          <cell r="A109" t="str">
            <v>IS3400</v>
          </cell>
          <cell r="B109">
            <v>11639</v>
          </cell>
          <cell r="C109">
            <v>0</v>
          </cell>
          <cell r="D109">
            <v>0</v>
          </cell>
          <cell r="E109">
            <v>0</v>
          </cell>
          <cell r="F109">
            <v>0</v>
          </cell>
          <cell r="G109">
            <v>0</v>
          </cell>
          <cell r="H109">
            <v>0</v>
          </cell>
          <cell r="I109">
            <v>0</v>
          </cell>
          <cell r="J109">
            <v>0</v>
          </cell>
          <cell r="K109">
            <v>0</v>
          </cell>
          <cell r="L109">
            <v>0</v>
          </cell>
          <cell r="M109">
            <v>0</v>
          </cell>
          <cell r="N109">
            <v>0</v>
          </cell>
          <cell r="O109">
            <v>37986</v>
          </cell>
        </row>
        <row r="110">
          <cell r="A110" t="str">
            <v>IS3500</v>
          </cell>
          <cell r="B110">
            <v>965</v>
          </cell>
          <cell r="C110">
            <v>0</v>
          </cell>
          <cell r="D110">
            <v>0</v>
          </cell>
          <cell r="E110">
            <v>0</v>
          </cell>
          <cell r="F110">
            <v>0</v>
          </cell>
          <cell r="G110">
            <v>0</v>
          </cell>
          <cell r="H110">
            <v>0</v>
          </cell>
          <cell r="I110">
            <v>0</v>
          </cell>
          <cell r="J110">
            <v>0</v>
          </cell>
          <cell r="K110">
            <v>0</v>
          </cell>
          <cell r="L110">
            <v>0</v>
          </cell>
          <cell r="M110">
            <v>0</v>
          </cell>
          <cell r="N110">
            <v>0</v>
          </cell>
          <cell r="O110">
            <v>37986</v>
          </cell>
        </row>
        <row r="111">
          <cell r="A111" t="str">
            <v>IS3600</v>
          </cell>
          <cell r="B111">
            <v>537</v>
          </cell>
          <cell r="C111">
            <v>0</v>
          </cell>
          <cell r="D111">
            <v>0</v>
          </cell>
          <cell r="E111">
            <v>0</v>
          </cell>
          <cell r="F111">
            <v>0</v>
          </cell>
          <cell r="G111">
            <v>0</v>
          </cell>
          <cell r="H111">
            <v>0</v>
          </cell>
          <cell r="I111">
            <v>0</v>
          </cell>
          <cell r="J111">
            <v>0</v>
          </cell>
          <cell r="K111">
            <v>0</v>
          </cell>
          <cell r="L111">
            <v>0</v>
          </cell>
          <cell r="M111">
            <v>0</v>
          </cell>
          <cell r="N111">
            <v>0</v>
          </cell>
          <cell r="O111">
            <v>37986</v>
          </cell>
        </row>
        <row r="112">
          <cell r="A112" t="str">
            <v>IS3700</v>
          </cell>
          <cell r="B112">
            <v>561</v>
          </cell>
          <cell r="C112">
            <v>0</v>
          </cell>
          <cell r="D112">
            <v>0</v>
          </cell>
          <cell r="E112">
            <v>0</v>
          </cell>
          <cell r="F112">
            <v>0</v>
          </cell>
          <cell r="G112">
            <v>0</v>
          </cell>
          <cell r="H112">
            <v>0</v>
          </cell>
          <cell r="I112">
            <v>0</v>
          </cell>
          <cell r="J112">
            <v>0</v>
          </cell>
          <cell r="K112">
            <v>0</v>
          </cell>
          <cell r="L112">
            <v>0</v>
          </cell>
          <cell r="M112">
            <v>0</v>
          </cell>
          <cell r="N112">
            <v>0</v>
          </cell>
          <cell r="O112">
            <v>37986</v>
          </cell>
        </row>
        <row r="113">
          <cell r="A113" t="str">
            <v>IS3800</v>
          </cell>
          <cell r="B113">
            <v>182</v>
          </cell>
          <cell r="C113">
            <v>0</v>
          </cell>
          <cell r="D113">
            <v>0</v>
          </cell>
          <cell r="E113">
            <v>0</v>
          </cell>
          <cell r="F113">
            <v>0</v>
          </cell>
          <cell r="G113">
            <v>0</v>
          </cell>
          <cell r="H113">
            <v>0</v>
          </cell>
          <cell r="I113">
            <v>0</v>
          </cell>
          <cell r="J113">
            <v>0</v>
          </cell>
          <cell r="K113">
            <v>0</v>
          </cell>
          <cell r="L113">
            <v>0</v>
          </cell>
          <cell r="M113">
            <v>0</v>
          </cell>
          <cell r="N113">
            <v>0</v>
          </cell>
          <cell r="O113">
            <v>37986</v>
          </cell>
        </row>
        <row r="114">
          <cell r="A114" t="str">
            <v>IS3900</v>
          </cell>
          <cell r="B114">
            <v>-693</v>
          </cell>
          <cell r="C114">
            <v>0</v>
          </cell>
          <cell r="D114">
            <v>0</v>
          </cell>
          <cell r="E114">
            <v>0</v>
          </cell>
          <cell r="F114">
            <v>0</v>
          </cell>
          <cell r="G114">
            <v>0</v>
          </cell>
          <cell r="H114">
            <v>0</v>
          </cell>
          <cell r="I114">
            <v>0</v>
          </cell>
          <cell r="J114">
            <v>0</v>
          </cell>
          <cell r="K114">
            <v>0</v>
          </cell>
          <cell r="L114">
            <v>0</v>
          </cell>
          <cell r="M114">
            <v>0</v>
          </cell>
          <cell r="N114">
            <v>0</v>
          </cell>
          <cell r="O114">
            <v>37986</v>
          </cell>
        </row>
        <row r="115">
          <cell r="A115" t="str">
            <v>IS400</v>
          </cell>
          <cell r="B115">
            <v>-355540</v>
          </cell>
          <cell r="C115">
            <v>0</v>
          </cell>
          <cell r="D115">
            <v>0</v>
          </cell>
          <cell r="E115">
            <v>0</v>
          </cell>
          <cell r="F115">
            <v>0</v>
          </cell>
          <cell r="G115">
            <v>0</v>
          </cell>
          <cell r="H115">
            <v>0</v>
          </cell>
          <cell r="I115">
            <v>0</v>
          </cell>
          <cell r="J115">
            <v>0</v>
          </cell>
          <cell r="K115">
            <v>0</v>
          </cell>
          <cell r="L115">
            <v>0</v>
          </cell>
          <cell r="M115">
            <v>0</v>
          </cell>
          <cell r="N115">
            <v>0</v>
          </cell>
          <cell r="O115">
            <v>37986</v>
          </cell>
        </row>
        <row r="116">
          <cell r="A116" t="str">
            <v>IS4310</v>
          </cell>
          <cell r="B116">
            <v>-14838</v>
          </cell>
          <cell r="C116">
            <v>0</v>
          </cell>
          <cell r="D116">
            <v>0</v>
          </cell>
          <cell r="E116">
            <v>0</v>
          </cell>
          <cell r="F116">
            <v>0</v>
          </cell>
          <cell r="G116">
            <v>0</v>
          </cell>
          <cell r="H116">
            <v>0</v>
          </cell>
          <cell r="I116">
            <v>0</v>
          </cell>
          <cell r="J116">
            <v>0</v>
          </cell>
          <cell r="K116">
            <v>0</v>
          </cell>
          <cell r="L116">
            <v>0</v>
          </cell>
          <cell r="M116">
            <v>0</v>
          </cell>
          <cell r="N116">
            <v>0</v>
          </cell>
          <cell r="O116">
            <v>37986</v>
          </cell>
        </row>
        <row r="117">
          <cell r="A117" t="str">
            <v>IS610</v>
          </cell>
          <cell r="B117">
            <v>206079</v>
          </cell>
          <cell r="C117">
            <v>0</v>
          </cell>
          <cell r="D117">
            <v>0</v>
          </cell>
          <cell r="E117">
            <v>0</v>
          </cell>
          <cell r="F117">
            <v>0</v>
          </cell>
          <cell r="G117">
            <v>0</v>
          </cell>
          <cell r="H117">
            <v>0</v>
          </cell>
          <cell r="I117">
            <v>0</v>
          </cell>
          <cell r="J117">
            <v>0</v>
          </cell>
          <cell r="K117">
            <v>0</v>
          </cell>
          <cell r="L117">
            <v>0</v>
          </cell>
          <cell r="M117">
            <v>0</v>
          </cell>
          <cell r="N117">
            <v>0</v>
          </cell>
          <cell r="O117">
            <v>37986</v>
          </cell>
        </row>
        <row r="118">
          <cell r="A118" t="str">
            <v>IS800</v>
          </cell>
          <cell r="B118">
            <v>58113</v>
          </cell>
          <cell r="C118">
            <v>0</v>
          </cell>
          <cell r="D118">
            <v>0</v>
          </cell>
          <cell r="E118">
            <v>0</v>
          </cell>
          <cell r="F118">
            <v>0</v>
          </cell>
          <cell r="G118">
            <v>0</v>
          </cell>
          <cell r="H118">
            <v>0</v>
          </cell>
          <cell r="I118">
            <v>0</v>
          </cell>
          <cell r="J118">
            <v>0</v>
          </cell>
          <cell r="K118">
            <v>0</v>
          </cell>
          <cell r="L118">
            <v>0</v>
          </cell>
          <cell r="M118">
            <v>0</v>
          </cell>
          <cell r="N118">
            <v>0</v>
          </cell>
          <cell r="O118">
            <v>37986</v>
          </cell>
        </row>
        <row r="119">
          <cell r="A119" t="str">
            <v>IS900</v>
          </cell>
          <cell r="B119">
            <v>8855</v>
          </cell>
          <cell r="C119">
            <v>0</v>
          </cell>
          <cell r="D119">
            <v>0</v>
          </cell>
          <cell r="E119">
            <v>0</v>
          </cell>
          <cell r="F119">
            <v>0</v>
          </cell>
          <cell r="G119">
            <v>0</v>
          </cell>
          <cell r="H119">
            <v>0</v>
          </cell>
          <cell r="I119">
            <v>0</v>
          </cell>
          <cell r="J119">
            <v>0</v>
          </cell>
          <cell r="K119">
            <v>0</v>
          </cell>
          <cell r="L119">
            <v>0</v>
          </cell>
          <cell r="M119">
            <v>0</v>
          </cell>
          <cell r="N119">
            <v>0</v>
          </cell>
          <cell r="O119">
            <v>37986</v>
          </cell>
        </row>
        <row r="120">
          <cell r="A120" t="str">
            <v>LLDAYS</v>
          </cell>
          <cell r="B120">
            <v>10.73</v>
          </cell>
          <cell r="C120">
            <v>10.73</v>
          </cell>
          <cell r="D120">
            <v>10.73</v>
          </cell>
          <cell r="E120">
            <v>10.73</v>
          </cell>
          <cell r="F120">
            <v>10.73</v>
          </cell>
          <cell r="G120">
            <v>0</v>
          </cell>
          <cell r="H120">
            <v>0</v>
          </cell>
          <cell r="I120">
            <v>0</v>
          </cell>
          <cell r="J120">
            <v>0</v>
          </cell>
          <cell r="K120">
            <v>0</v>
          </cell>
          <cell r="L120">
            <v>0</v>
          </cell>
          <cell r="M120">
            <v>0</v>
          </cell>
          <cell r="N120">
            <v>0</v>
          </cell>
          <cell r="O120">
            <v>37986</v>
          </cell>
        </row>
        <row r="121">
          <cell r="A121" t="str">
            <v>LTD</v>
          </cell>
          <cell r="B121">
            <v>0</v>
          </cell>
          <cell r="C121">
            <v>0</v>
          </cell>
          <cell r="D121">
            <v>-155185</v>
          </cell>
          <cell r="E121">
            <v>0</v>
          </cell>
          <cell r="F121">
            <v>-155149</v>
          </cell>
          <cell r="G121">
            <v>0</v>
          </cell>
          <cell r="H121">
            <v>0</v>
          </cell>
          <cell r="I121">
            <v>0</v>
          </cell>
          <cell r="J121">
            <v>0</v>
          </cell>
          <cell r="K121">
            <v>0</v>
          </cell>
          <cell r="L121">
            <v>0</v>
          </cell>
          <cell r="M121">
            <v>0</v>
          </cell>
          <cell r="N121">
            <v>0</v>
          </cell>
          <cell r="O121">
            <v>37986</v>
          </cell>
        </row>
        <row r="122">
          <cell r="A122" t="str">
            <v>MSTOT</v>
          </cell>
          <cell r="B122">
            <v>2250</v>
          </cell>
          <cell r="C122">
            <v>2279</v>
          </cell>
          <cell r="D122">
            <v>2446</v>
          </cell>
          <cell r="E122">
            <v>2228</v>
          </cell>
          <cell r="F122">
            <v>2304</v>
          </cell>
          <cell r="G122">
            <v>0</v>
          </cell>
          <cell r="H122">
            <v>0</v>
          </cell>
          <cell r="I122">
            <v>0</v>
          </cell>
          <cell r="J122">
            <v>0</v>
          </cell>
          <cell r="K122">
            <v>0</v>
          </cell>
          <cell r="L122">
            <v>0</v>
          </cell>
          <cell r="M122">
            <v>0</v>
          </cell>
          <cell r="N122">
            <v>0</v>
          </cell>
          <cell r="O122">
            <v>37986</v>
          </cell>
        </row>
        <row r="123">
          <cell r="A123" t="str">
            <v>OPIADJ</v>
          </cell>
          <cell r="B123">
            <v>0</v>
          </cell>
          <cell r="C123">
            <v>0</v>
          </cell>
          <cell r="D123">
            <v>0</v>
          </cell>
          <cell r="E123">
            <v>0</v>
          </cell>
          <cell r="F123">
            <v>0</v>
          </cell>
          <cell r="G123">
            <v>0</v>
          </cell>
          <cell r="H123">
            <v>0</v>
          </cell>
          <cell r="I123">
            <v>0</v>
          </cell>
          <cell r="J123">
            <v>0</v>
          </cell>
          <cell r="K123">
            <v>0</v>
          </cell>
          <cell r="L123">
            <v>0</v>
          </cell>
          <cell r="M123">
            <v>0</v>
          </cell>
          <cell r="N123">
            <v>0</v>
          </cell>
          <cell r="O123">
            <v>37986</v>
          </cell>
        </row>
        <row r="124">
          <cell r="A124" t="str">
            <v>PROMON</v>
          </cell>
          <cell r="B124">
            <v>13</v>
          </cell>
          <cell r="C124">
            <v>13</v>
          </cell>
          <cell r="D124">
            <v>13</v>
          </cell>
          <cell r="E124">
            <v>13</v>
          </cell>
          <cell r="F124">
            <v>9</v>
          </cell>
          <cell r="G124">
            <v>0</v>
          </cell>
          <cell r="H124">
            <v>0</v>
          </cell>
          <cell r="I124">
            <v>0</v>
          </cell>
          <cell r="J124">
            <v>0</v>
          </cell>
          <cell r="K124">
            <v>0</v>
          </cell>
          <cell r="L124">
            <v>0</v>
          </cell>
          <cell r="M124">
            <v>0</v>
          </cell>
          <cell r="N124">
            <v>0</v>
          </cell>
          <cell r="O124">
            <v>37986</v>
          </cell>
        </row>
        <row r="125">
          <cell r="A125" t="str">
            <v>RAB37</v>
          </cell>
          <cell r="B125">
            <v>626667</v>
          </cell>
          <cell r="C125">
            <v>646405</v>
          </cell>
          <cell r="D125">
            <v>666106</v>
          </cell>
          <cell r="E125">
            <v>684195</v>
          </cell>
          <cell r="F125">
            <v>703914</v>
          </cell>
          <cell r="G125">
            <v>0</v>
          </cell>
          <cell r="H125">
            <v>0</v>
          </cell>
          <cell r="I125">
            <v>0</v>
          </cell>
          <cell r="J125">
            <v>0</v>
          </cell>
          <cell r="K125">
            <v>0</v>
          </cell>
          <cell r="L125">
            <v>0</v>
          </cell>
          <cell r="M125">
            <v>0</v>
          </cell>
          <cell r="N125">
            <v>0</v>
          </cell>
          <cell r="O125">
            <v>37986</v>
          </cell>
        </row>
        <row r="126">
          <cell r="A126" t="str">
            <v>RAB4H</v>
          </cell>
          <cell r="B126">
            <v>272087</v>
          </cell>
          <cell r="C126">
            <v>284455</v>
          </cell>
          <cell r="D126">
            <v>296822</v>
          </cell>
          <cell r="E126">
            <v>309190</v>
          </cell>
          <cell r="F126">
            <v>321557</v>
          </cell>
          <cell r="G126">
            <v>0</v>
          </cell>
          <cell r="H126">
            <v>0</v>
          </cell>
          <cell r="I126">
            <v>0</v>
          </cell>
          <cell r="J126">
            <v>0</v>
          </cell>
          <cell r="K126">
            <v>0</v>
          </cell>
          <cell r="L126">
            <v>0</v>
          </cell>
          <cell r="M126">
            <v>0</v>
          </cell>
          <cell r="N126">
            <v>0</v>
          </cell>
          <cell r="O126">
            <v>37986</v>
          </cell>
        </row>
        <row r="127">
          <cell r="A127" t="str">
            <v>RAB4N</v>
          </cell>
          <cell r="B127">
            <v>287591</v>
          </cell>
          <cell r="C127">
            <v>287591</v>
          </cell>
          <cell r="D127">
            <v>287591</v>
          </cell>
          <cell r="E127">
            <v>287591</v>
          </cell>
          <cell r="F127">
            <v>287591</v>
          </cell>
          <cell r="G127">
            <v>0</v>
          </cell>
          <cell r="H127">
            <v>0</v>
          </cell>
          <cell r="I127">
            <v>0</v>
          </cell>
          <cell r="J127">
            <v>0</v>
          </cell>
          <cell r="K127">
            <v>0</v>
          </cell>
          <cell r="L127">
            <v>0</v>
          </cell>
          <cell r="M127">
            <v>0</v>
          </cell>
          <cell r="N127">
            <v>0</v>
          </cell>
          <cell r="O127">
            <v>37986</v>
          </cell>
        </row>
        <row r="128">
          <cell r="A128" t="str">
            <v>RLB45</v>
          </cell>
          <cell r="B128">
            <v>-5</v>
          </cell>
          <cell r="C128">
            <v>-5</v>
          </cell>
          <cell r="D128">
            <v>-5</v>
          </cell>
          <cell r="E128">
            <v>-5</v>
          </cell>
          <cell r="F128">
            <v>-5</v>
          </cell>
          <cell r="G128">
            <v>0</v>
          </cell>
          <cell r="H128">
            <v>0</v>
          </cell>
          <cell r="I128">
            <v>0</v>
          </cell>
          <cell r="J128">
            <v>0</v>
          </cell>
          <cell r="K128">
            <v>0</v>
          </cell>
          <cell r="L128">
            <v>0</v>
          </cell>
          <cell r="M128">
            <v>0</v>
          </cell>
          <cell r="N128">
            <v>0</v>
          </cell>
          <cell r="O128">
            <v>37986</v>
          </cell>
        </row>
        <row r="129">
          <cell r="A129" t="str">
            <v>RLB47</v>
          </cell>
          <cell r="B129">
            <v>-465744</v>
          </cell>
          <cell r="C129">
            <v>-465774</v>
          </cell>
          <cell r="D129">
            <v>-465825</v>
          </cell>
          <cell r="E129">
            <v>-465876</v>
          </cell>
          <cell r="F129">
            <v>-465930</v>
          </cell>
          <cell r="G129">
            <v>0</v>
          </cell>
          <cell r="H129">
            <v>0</v>
          </cell>
          <cell r="I129">
            <v>0</v>
          </cell>
          <cell r="J129">
            <v>0</v>
          </cell>
          <cell r="K129">
            <v>0</v>
          </cell>
          <cell r="L129">
            <v>0</v>
          </cell>
          <cell r="M129">
            <v>0</v>
          </cell>
          <cell r="N129">
            <v>0</v>
          </cell>
          <cell r="O129">
            <v>37986</v>
          </cell>
        </row>
        <row r="130">
          <cell r="A130" t="str">
            <v>RLB48</v>
          </cell>
          <cell r="B130">
            <v>0</v>
          </cell>
          <cell r="C130">
            <v>0</v>
          </cell>
          <cell r="D130">
            <v>0</v>
          </cell>
          <cell r="E130">
            <v>-1354</v>
          </cell>
          <cell r="F130">
            <v>-767</v>
          </cell>
          <cell r="G130">
            <v>0</v>
          </cell>
          <cell r="H130">
            <v>0</v>
          </cell>
          <cell r="I130">
            <v>0</v>
          </cell>
          <cell r="J130">
            <v>0</v>
          </cell>
          <cell r="K130">
            <v>0</v>
          </cell>
          <cell r="L130">
            <v>0</v>
          </cell>
          <cell r="M130">
            <v>0</v>
          </cell>
          <cell r="N130">
            <v>0</v>
          </cell>
          <cell r="O130">
            <v>37986</v>
          </cell>
        </row>
        <row r="131">
          <cell r="A131" t="str">
            <v>RLB51</v>
          </cell>
          <cell r="B131">
            <v>-39129</v>
          </cell>
          <cell r="C131">
            <v>-48688</v>
          </cell>
          <cell r="D131">
            <v>-51564</v>
          </cell>
          <cell r="E131">
            <v>-35728</v>
          </cell>
          <cell r="F131">
            <v>-24290</v>
          </cell>
          <cell r="G131">
            <v>0</v>
          </cell>
          <cell r="H131">
            <v>0</v>
          </cell>
          <cell r="I131">
            <v>0</v>
          </cell>
          <cell r="J131">
            <v>0</v>
          </cell>
          <cell r="K131">
            <v>0</v>
          </cell>
          <cell r="L131">
            <v>0</v>
          </cell>
          <cell r="M131">
            <v>0</v>
          </cell>
          <cell r="N131">
            <v>0</v>
          </cell>
          <cell r="O131">
            <v>37986</v>
          </cell>
        </row>
        <row r="132">
          <cell r="A132" t="str">
            <v>RLB55</v>
          </cell>
          <cell r="B132">
            <v>-151061353</v>
          </cell>
          <cell r="C132">
            <v>-151802379</v>
          </cell>
          <cell r="D132">
            <v>-151593405</v>
          </cell>
          <cell r="E132">
            <v>-151384431</v>
          </cell>
          <cell r="F132">
            <v>-151177913</v>
          </cell>
          <cell r="G132">
            <v>0</v>
          </cell>
          <cell r="H132">
            <v>0</v>
          </cell>
          <cell r="I132">
            <v>0</v>
          </cell>
          <cell r="J132">
            <v>0</v>
          </cell>
          <cell r="K132">
            <v>0</v>
          </cell>
          <cell r="L132">
            <v>0</v>
          </cell>
          <cell r="M132">
            <v>0</v>
          </cell>
          <cell r="N132">
            <v>0</v>
          </cell>
          <cell r="O132">
            <v>37986</v>
          </cell>
        </row>
        <row r="133">
          <cell r="A133" t="str">
            <v>RLB57</v>
          </cell>
          <cell r="B133">
            <v>0</v>
          </cell>
          <cell r="C133">
            <v>0</v>
          </cell>
          <cell r="D133">
            <v>0</v>
          </cell>
          <cell r="E133">
            <v>0</v>
          </cell>
          <cell r="F133">
            <v>0</v>
          </cell>
          <cell r="G133">
            <v>0</v>
          </cell>
          <cell r="H133">
            <v>0</v>
          </cell>
          <cell r="I133">
            <v>0</v>
          </cell>
          <cell r="J133">
            <v>0</v>
          </cell>
          <cell r="K133">
            <v>0</v>
          </cell>
          <cell r="L133">
            <v>0</v>
          </cell>
          <cell r="M133">
            <v>0</v>
          </cell>
          <cell r="N133">
            <v>0</v>
          </cell>
          <cell r="O133">
            <v>37986</v>
          </cell>
        </row>
        <row r="134">
          <cell r="A134" t="str">
            <v>RLB58</v>
          </cell>
          <cell r="B134">
            <v>5500</v>
          </cell>
          <cell r="C134">
            <v>6325</v>
          </cell>
          <cell r="D134">
            <v>7150</v>
          </cell>
          <cell r="E134">
            <v>7975</v>
          </cell>
          <cell r="F134">
            <v>8800</v>
          </cell>
          <cell r="G134">
            <v>0</v>
          </cell>
          <cell r="H134">
            <v>0</v>
          </cell>
          <cell r="I134">
            <v>0</v>
          </cell>
          <cell r="J134">
            <v>0</v>
          </cell>
          <cell r="K134">
            <v>0</v>
          </cell>
          <cell r="L134">
            <v>0</v>
          </cell>
          <cell r="M134">
            <v>0</v>
          </cell>
          <cell r="N134">
            <v>0</v>
          </cell>
          <cell r="O134">
            <v>37986</v>
          </cell>
        </row>
        <row r="135">
          <cell r="A135" t="str">
            <v>RLB89</v>
          </cell>
          <cell r="B135">
            <v>0</v>
          </cell>
          <cell r="C135">
            <v>0</v>
          </cell>
          <cell r="D135">
            <v>0</v>
          </cell>
          <cell r="E135">
            <v>0</v>
          </cell>
          <cell r="F135">
            <v>0</v>
          </cell>
          <cell r="G135">
            <v>0</v>
          </cell>
          <cell r="H135">
            <v>0</v>
          </cell>
          <cell r="I135">
            <v>0</v>
          </cell>
          <cell r="J135">
            <v>0</v>
          </cell>
          <cell r="K135">
            <v>0</v>
          </cell>
          <cell r="L135">
            <v>0</v>
          </cell>
          <cell r="M135">
            <v>0</v>
          </cell>
          <cell r="N135">
            <v>0</v>
          </cell>
          <cell r="O135">
            <v>37986</v>
          </cell>
        </row>
        <row r="136">
          <cell r="A136" t="str">
            <v>RRG81</v>
          </cell>
          <cell r="B136">
            <v>0</v>
          </cell>
          <cell r="C136">
            <v>0</v>
          </cell>
          <cell r="D136">
            <v>0</v>
          </cell>
          <cell r="E136">
            <v>0</v>
          </cell>
          <cell r="F136">
            <v>0</v>
          </cell>
          <cell r="G136">
            <v>0</v>
          </cell>
          <cell r="H136">
            <v>0</v>
          </cell>
          <cell r="I136">
            <v>0</v>
          </cell>
          <cell r="J136">
            <v>0</v>
          </cell>
          <cell r="K136">
            <v>0</v>
          </cell>
          <cell r="L136">
            <v>0</v>
          </cell>
          <cell r="M136">
            <v>0</v>
          </cell>
          <cell r="N136">
            <v>0</v>
          </cell>
          <cell r="O136">
            <v>37986</v>
          </cell>
        </row>
        <row r="137">
          <cell r="A137" t="str">
            <v>RSLS</v>
          </cell>
          <cell r="B137">
            <v>-6013983</v>
          </cell>
          <cell r="C137">
            <v>0</v>
          </cell>
          <cell r="D137">
            <v>0</v>
          </cell>
          <cell r="E137">
            <v>0</v>
          </cell>
          <cell r="F137">
            <v>0</v>
          </cell>
          <cell r="G137">
            <v>0</v>
          </cell>
          <cell r="H137">
            <v>0</v>
          </cell>
          <cell r="I137">
            <v>0</v>
          </cell>
          <cell r="J137">
            <v>0</v>
          </cell>
          <cell r="K137">
            <v>0</v>
          </cell>
          <cell r="L137">
            <v>0</v>
          </cell>
          <cell r="M137">
            <v>0</v>
          </cell>
          <cell r="N137">
            <v>0</v>
          </cell>
          <cell r="O137">
            <v>37986</v>
          </cell>
        </row>
        <row r="138">
          <cell r="A138" t="str">
            <v>RXP18</v>
          </cell>
          <cell r="B138">
            <v>0</v>
          </cell>
          <cell r="C138">
            <v>0</v>
          </cell>
          <cell r="D138">
            <v>0</v>
          </cell>
          <cell r="E138">
            <v>0</v>
          </cell>
          <cell r="F138">
            <v>0</v>
          </cell>
          <cell r="G138">
            <v>0</v>
          </cell>
          <cell r="H138">
            <v>0</v>
          </cell>
          <cell r="I138">
            <v>0</v>
          </cell>
          <cell r="J138">
            <v>0</v>
          </cell>
          <cell r="K138">
            <v>0</v>
          </cell>
          <cell r="L138">
            <v>0</v>
          </cell>
          <cell r="M138">
            <v>0</v>
          </cell>
          <cell r="N138">
            <v>0</v>
          </cell>
          <cell r="O138">
            <v>37986</v>
          </cell>
        </row>
        <row r="139">
          <cell r="A139" t="str">
            <v>RXP25</v>
          </cell>
          <cell r="B139">
            <v>-377332</v>
          </cell>
          <cell r="C139">
            <v>0</v>
          </cell>
          <cell r="D139">
            <v>0</v>
          </cell>
          <cell r="E139">
            <v>0</v>
          </cell>
          <cell r="F139">
            <v>0</v>
          </cell>
          <cell r="G139">
            <v>0</v>
          </cell>
          <cell r="H139">
            <v>0</v>
          </cell>
          <cell r="I139">
            <v>0</v>
          </cell>
          <cell r="J139">
            <v>0</v>
          </cell>
          <cell r="K139">
            <v>0</v>
          </cell>
          <cell r="L139">
            <v>0</v>
          </cell>
          <cell r="M139">
            <v>0</v>
          </cell>
          <cell r="N139">
            <v>0</v>
          </cell>
          <cell r="O139">
            <v>37986</v>
          </cell>
        </row>
        <row r="140">
          <cell r="A140" t="str">
            <v>STD</v>
          </cell>
          <cell r="B140">
            <v>-88100</v>
          </cell>
          <cell r="C140">
            <v>-52900</v>
          </cell>
          <cell r="D140">
            <v>-49600</v>
          </cell>
          <cell r="E140">
            <v>-66000</v>
          </cell>
          <cell r="F140">
            <v>-66000</v>
          </cell>
          <cell r="G140">
            <v>0</v>
          </cell>
          <cell r="H140">
            <v>0</v>
          </cell>
          <cell r="I140">
            <v>0</v>
          </cell>
          <cell r="J140">
            <v>0</v>
          </cell>
          <cell r="K140">
            <v>0</v>
          </cell>
          <cell r="L140">
            <v>0</v>
          </cell>
          <cell r="M140">
            <v>0</v>
          </cell>
          <cell r="N140">
            <v>0</v>
          </cell>
          <cell r="O140">
            <v>37986</v>
          </cell>
        </row>
        <row r="141">
          <cell r="A141" t="str">
            <v>TOTGAS</v>
          </cell>
          <cell r="B141">
            <v>206079227</v>
          </cell>
          <cell r="C141">
            <v>0</v>
          </cell>
          <cell r="D141">
            <v>0</v>
          </cell>
          <cell r="E141">
            <v>0</v>
          </cell>
          <cell r="F141">
            <v>0</v>
          </cell>
          <cell r="G141">
            <v>0</v>
          </cell>
          <cell r="H141">
            <v>0</v>
          </cell>
          <cell r="I141">
            <v>0</v>
          </cell>
          <cell r="J141">
            <v>0</v>
          </cell>
          <cell r="K141">
            <v>0</v>
          </cell>
          <cell r="L141">
            <v>0</v>
          </cell>
          <cell r="M141">
            <v>0</v>
          </cell>
          <cell r="N141">
            <v>0</v>
          </cell>
          <cell r="O141">
            <v>37986</v>
          </cell>
        </row>
        <row r="142">
          <cell r="A142" t="str">
            <v>TOTOM</v>
          </cell>
          <cell r="B142">
            <v>66968501</v>
          </cell>
          <cell r="C142">
            <v>0</v>
          </cell>
          <cell r="D142">
            <v>0</v>
          </cell>
          <cell r="E142">
            <v>0</v>
          </cell>
          <cell r="F142">
            <v>0</v>
          </cell>
          <cell r="G142">
            <v>0</v>
          </cell>
          <cell r="H142">
            <v>0</v>
          </cell>
          <cell r="I142">
            <v>0</v>
          </cell>
          <cell r="J142">
            <v>0</v>
          </cell>
          <cell r="K142">
            <v>0</v>
          </cell>
          <cell r="L142">
            <v>0</v>
          </cell>
          <cell r="M142">
            <v>0</v>
          </cell>
          <cell r="N142">
            <v>0</v>
          </cell>
          <cell r="O142">
            <v>37986</v>
          </cell>
        </row>
        <row r="143">
          <cell r="A143" t="str">
            <v>WNRMLZ</v>
          </cell>
          <cell r="B143">
            <v>0</v>
          </cell>
          <cell r="C143">
            <v>0</v>
          </cell>
          <cell r="D143">
            <v>0</v>
          </cell>
          <cell r="E143">
            <v>0</v>
          </cell>
          <cell r="F143">
            <v>0</v>
          </cell>
          <cell r="G143">
            <v>0</v>
          </cell>
          <cell r="H143">
            <v>0</v>
          </cell>
          <cell r="I143">
            <v>0</v>
          </cell>
          <cell r="J143">
            <v>0</v>
          </cell>
          <cell r="K143">
            <v>0</v>
          </cell>
          <cell r="L143">
            <v>0</v>
          </cell>
          <cell r="M143">
            <v>0</v>
          </cell>
          <cell r="N143">
            <v>0</v>
          </cell>
          <cell r="O143">
            <v>37986</v>
          </cell>
        </row>
        <row r="144">
          <cell r="A144" t="str">
            <v>XMRGN</v>
          </cell>
          <cell r="B144">
            <v>0</v>
          </cell>
          <cell r="C144">
            <v>0</v>
          </cell>
          <cell r="D144">
            <v>0</v>
          </cell>
          <cell r="E144">
            <v>0</v>
          </cell>
          <cell r="F144">
            <v>0</v>
          </cell>
          <cell r="G144">
            <v>0</v>
          </cell>
          <cell r="H144">
            <v>0</v>
          </cell>
          <cell r="I144">
            <v>0</v>
          </cell>
          <cell r="J144">
            <v>0</v>
          </cell>
          <cell r="K144">
            <v>0</v>
          </cell>
          <cell r="L144">
            <v>0</v>
          </cell>
          <cell r="M144">
            <v>0</v>
          </cell>
          <cell r="N144">
            <v>0</v>
          </cell>
          <cell r="O144">
            <v>37986</v>
          </cell>
        </row>
      </sheetData>
      <sheetData sheetId="35"/>
      <sheetData sheetId="36" refreshError="1"/>
      <sheetData sheetId="37"/>
      <sheetData sheetId="38"/>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2009 Combined Table A1 "/>
      <sheetName val=" 2009 Comb. Rev A2"/>
      <sheetName val="2009 Joint Table A1 Pies"/>
      <sheetName val="CLP Table A  "/>
      <sheetName val="CLP Table A _Final Decision"/>
      <sheetName val="CL&amp;P 2009 Table A Pie Chart"/>
      <sheetName val="CLP Table B - 2009 Comparison"/>
      <sheetName val="CLP Table B1"/>
      <sheetName val="Table C 2009 "/>
      <sheetName val="2009 Table C Pie Chart"/>
      <sheetName val="2009 CLP Table D"/>
      <sheetName val="2008  CLP PMF Exhibit 4"/>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NG Table A"/>
      <sheetName val="CNG 2019-21 Table A Pie Charts"/>
      <sheetName val="CNG Table A2"/>
      <sheetName val="SCG Table A"/>
      <sheetName val="SCG 2019-21 Table A Pie Charts"/>
      <sheetName val="SCG Table A2"/>
      <sheetName val="CNG Table B"/>
      <sheetName val="SCG Table B"/>
      <sheetName val="CNG Table C 2021"/>
      <sheetName val="CNG 2019-21 Table C Pie Chart"/>
      <sheetName val="SCG Table C 2021"/>
      <sheetName val="SCG 2019-21 Table C Pie Chart"/>
      <sheetName val="CNG Table D"/>
      <sheetName val="CNG Table D1"/>
      <sheetName val="CNG Table D2"/>
      <sheetName val="CNG Table D3"/>
      <sheetName val="SCG Table D "/>
      <sheetName val="SCG Table D1 "/>
      <sheetName val="SCG Table D2"/>
      <sheetName val="SCG Table D3"/>
      <sheetName val="CNG 2021 Exhibit 4"/>
      <sheetName val="SCG 2021 Exhibit 4"/>
    </sheetNames>
    <sheetDataSet>
      <sheetData sheetId="0">
        <row r="13">
          <cell r="I13">
            <v>470451</v>
          </cell>
        </row>
        <row r="14">
          <cell r="I14">
            <v>2497610</v>
          </cell>
        </row>
        <row r="15">
          <cell r="I15">
            <v>2683072</v>
          </cell>
        </row>
        <row r="16">
          <cell r="I16">
            <v>96254</v>
          </cell>
        </row>
        <row r="17">
          <cell r="I17">
            <v>151126</v>
          </cell>
        </row>
        <row r="22">
          <cell r="I22">
            <v>4145798</v>
          </cell>
        </row>
        <row r="25">
          <cell r="I25">
            <v>813249</v>
          </cell>
        </row>
        <row r="26">
          <cell r="I26">
            <v>418511</v>
          </cell>
        </row>
        <row r="28">
          <cell r="I28">
            <v>118716</v>
          </cell>
        </row>
        <row r="32">
          <cell r="I32">
            <v>64577.56</v>
          </cell>
        </row>
        <row r="33">
          <cell r="I33">
            <v>0</v>
          </cell>
        </row>
        <row r="34">
          <cell r="I34">
            <v>31421.369999999995</v>
          </cell>
        </row>
        <row r="35">
          <cell r="I35">
            <v>24596.659999999996</v>
          </cell>
        </row>
        <row r="39">
          <cell r="I39">
            <v>52478.13</v>
          </cell>
        </row>
        <row r="40">
          <cell r="I40">
            <v>0</v>
          </cell>
        </row>
        <row r="41">
          <cell r="I41">
            <v>20163.810000000001</v>
          </cell>
        </row>
        <row r="45">
          <cell r="I45">
            <v>81470.3</v>
          </cell>
        </row>
        <row r="46">
          <cell r="I46">
            <v>10695.800000000003</v>
          </cell>
        </row>
        <row r="47">
          <cell r="I47">
            <v>114343.37999999998</v>
          </cell>
        </row>
        <row r="48">
          <cell r="I48">
            <v>197792.12000000005</v>
          </cell>
        </row>
        <row r="49">
          <cell r="I49">
            <v>21866</v>
          </cell>
        </row>
        <row r="50">
          <cell r="I50">
            <v>97801.999999999985</v>
          </cell>
        </row>
        <row r="51">
          <cell r="I51">
            <v>43332.84</v>
          </cell>
        </row>
        <row r="52">
          <cell r="I52">
            <v>1596.9099999999999</v>
          </cell>
        </row>
        <row r="53">
          <cell r="I53">
            <v>727765.23</v>
          </cell>
        </row>
      </sheetData>
      <sheetData sheetId="1">
        <row r="28">
          <cell r="J28">
            <v>4288661.3418320501</v>
          </cell>
        </row>
      </sheetData>
      <sheetData sheetId="2"/>
      <sheetData sheetId="3">
        <row r="13">
          <cell r="I13">
            <v>463333</v>
          </cell>
        </row>
        <row r="14">
          <cell r="I14">
            <v>2556209</v>
          </cell>
        </row>
        <row r="15">
          <cell r="I15">
            <v>3256694</v>
          </cell>
        </row>
        <row r="16">
          <cell r="I16">
            <v>1680548</v>
          </cell>
        </row>
        <row r="17">
          <cell r="I17">
            <v>151126</v>
          </cell>
        </row>
        <row r="22">
          <cell r="I22">
            <v>2156813</v>
          </cell>
        </row>
        <row r="25">
          <cell r="I25">
            <v>2032986</v>
          </cell>
        </row>
        <row r="26">
          <cell r="I26">
            <v>228959</v>
          </cell>
        </row>
        <row r="28">
          <cell r="I28">
            <v>237722</v>
          </cell>
        </row>
        <row r="32">
          <cell r="I32">
            <v>64541.79</v>
          </cell>
        </row>
        <row r="33">
          <cell r="I33">
            <v>0</v>
          </cell>
        </row>
        <row r="34">
          <cell r="I34">
            <v>31404.33</v>
          </cell>
        </row>
        <row r="35">
          <cell r="I35">
            <v>25846.63</v>
          </cell>
        </row>
        <row r="39">
          <cell r="I39">
            <v>61748.79</v>
          </cell>
        </row>
        <row r="40">
          <cell r="I40">
            <v>0</v>
          </cell>
        </row>
        <row r="41">
          <cell r="I41">
            <v>20162.790000000005</v>
          </cell>
        </row>
        <row r="45">
          <cell r="I45">
            <v>80627.61</v>
          </cell>
        </row>
        <row r="46">
          <cell r="I46">
            <v>9312.0999999999985</v>
          </cell>
        </row>
        <row r="47">
          <cell r="I47">
            <v>114343.39999999998</v>
          </cell>
        </row>
        <row r="48">
          <cell r="I48">
            <v>200834.85999999996</v>
          </cell>
        </row>
        <row r="49">
          <cell r="I49">
            <v>21865.359999999993</v>
          </cell>
        </row>
        <row r="50">
          <cell r="I50">
            <v>78797.070000000007</v>
          </cell>
        </row>
        <row r="51">
          <cell r="I51">
            <v>43333.08</v>
          </cell>
        </row>
        <row r="52">
          <cell r="I52">
            <v>1597.4099999999999</v>
          </cell>
        </row>
        <row r="53">
          <cell r="I53">
            <v>629890.33000000007</v>
          </cell>
        </row>
      </sheetData>
      <sheetData sheetId="4">
        <row r="28">
          <cell r="J28">
            <v>2809339.0754999998</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4.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pageSetUpPr fitToPage="1"/>
  </sheetPr>
  <dimension ref="A1:IE59"/>
  <sheetViews>
    <sheetView showGridLines="0" zoomScale="70" zoomScaleNormal="70" workbookViewId="0">
      <pane xSplit="3" ySplit="11" topLeftCell="H45" activePane="bottomRight" state="frozen"/>
      <selection activeCell="R61" sqref="R61"/>
      <selection pane="topRight" activeCell="R61" sqref="R61"/>
      <selection pane="bottomLeft" activeCell="R61" sqref="R61"/>
      <selection pane="bottomRight" activeCell="I67" sqref="I67"/>
    </sheetView>
  </sheetViews>
  <sheetFormatPr defaultColWidth="9.140625" defaultRowHeight="12.75" x14ac:dyDescent="0.2"/>
  <cols>
    <col min="1" max="1" width="7.5703125" style="1" hidden="1" customWidth="1"/>
    <col min="2" max="2" width="7.5703125" style="1" customWidth="1"/>
    <col min="3" max="3" width="64.28515625" style="1" customWidth="1"/>
    <col min="4" max="5" width="20.7109375" style="1" hidden="1" customWidth="1"/>
    <col min="6" max="6" width="19.42578125" style="1" hidden="1" customWidth="1"/>
    <col min="7" max="7" width="20.7109375" style="1" hidden="1" customWidth="1"/>
    <col min="8" max="11" width="20.28515625" style="1" customWidth="1"/>
    <col min="12" max="19" width="20.28515625" style="395" customWidth="1"/>
    <col min="20" max="23" width="20.28515625" style="1" customWidth="1"/>
    <col min="24" max="27" width="20.28515625" style="395" customWidth="1"/>
    <col min="28" max="16384" width="9.140625" style="1"/>
  </cols>
  <sheetData>
    <row r="1" spans="1:239" ht="23.25" x14ac:dyDescent="0.35">
      <c r="C1" s="36"/>
      <c r="D1" s="428"/>
    </row>
    <row r="2" spans="1:239" ht="23.25" x14ac:dyDescent="0.35">
      <c r="C2" s="545" t="s">
        <v>44</v>
      </c>
      <c r="D2" s="546"/>
      <c r="E2" s="546"/>
      <c r="F2" s="546"/>
      <c r="G2" s="546"/>
    </row>
    <row r="3" spans="1:239" ht="23.25" x14ac:dyDescent="0.35">
      <c r="A3" s="2"/>
      <c r="B3" s="2"/>
      <c r="C3" s="545" t="s">
        <v>252</v>
      </c>
      <c r="D3" s="545"/>
      <c r="E3" s="545"/>
      <c r="F3" s="545"/>
      <c r="G3" s="545"/>
    </row>
    <row r="4" spans="1:239" ht="23.25" x14ac:dyDescent="0.35">
      <c r="A4" s="2"/>
      <c r="B4" s="2"/>
      <c r="C4" s="545" t="s">
        <v>362</v>
      </c>
      <c r="D4" s="546"/>
      <c r="E4" s="546"/>
      <c r="F4" s="546"/>
      <c r="G4" s="546"/>
    </row>
    <row r="5" spans="1:239" ht="21" thickBot="1" x14ac:dyDescent="0.35">
      <c r="A5" s="2"/>
      <c r="B5" s="2"/>
      <c r="C5" s="3" t="s">
        <v>5</v>
      </c>
      <c r="E5" s="428" t="s">
        <v>5</v>
      </c>
    </row>
    <row r="6" spans="1:239" ht="21" thickBot="1" x14ac:dyDescent="0.35">
      <c r="A6" s="4"/>
      <c r="B6" s="4"/>
      <c r="C6" s="5"/>
      <c r="D6" s="537">
        <v>2020</v>
      </c>
      <c r="E6" s="538"/>
      <c r="F6" s="538"/>
      <c r="G6" s="539"/>
      <c r="H6" s="537">
        <v>2021</v>
      </c>
      <c r="I6" s="538"/>
      <c r="J6" s="538"/>
      <c r="K6" s="539"/>
      <c r="L6" s="537">
        <v>2022</v>
      </c>
      <c r="M6" s="538"/>
      <c r="N6" s="538"/>
      <c r="O6" s="539"/>
      <c r="P6" s="537">
        <v>2023</v>
      </c>
      <c r="Q6" s="538"/>
      <c r="R6" s="538"/>
      <c r="S6" s="539"/>
      <c r="T6" s="537">
        <v>2024</v>
      </c>
      <c r="U6" s="538"/>
      <c r="V6" s="538"/>
      <c r="W6" s="539"/>
      <c r="X6" s="537">
        <v>2025</v>
      </c>
      <c r="Y6" s="538"/>
      <c r="Z6" s="538"/>
      <c r="AA6" s="539"/>
    </row>
    <row r="7" spans="1:239" ht="18" x14ac:dyDescent="0.25">
      <c r="A7" s="6"/>
      <c r="B7" s="193"/>
      <c r="C7" s="163"/>
      <c r="D7" s="164">
        <v>2020</v>
      </c>
      <c r="E7" s="165">
        <v>2020</v>
      </c>
      <c r="F7" s="166">
        <v>2020</v>
      </c>
      <c r="G7" s="165">
        <v>2020</v>
      </c>
      <c r="H7" s="164">
        <v>2021</v>
      </c>
      <c r="I7" s="165">
        <v>2021</v>
      </c>
      <c r="J7" s="166">
        <v>2021</v>
      </c>
      <c r="K7" s="165">
        <v>2021</v>
      </c>
      <c r="L7" s="164">
        <v>2022</v>
      </c>
      <c r="M7" s="165">
        <v>2022</v>
      </c>
      <c r="N7" s="166">
        <v>2022</v>
      </c>
      <c r="O7" s="165">
        <v>2022</v>
      </c>
      <c r="P7" s="164">
        <v>2023</v>
      </c>
      <c r="Q7" s="165">
        <v>2023</v>
      </c>
      <c r="R7" s="166">
        <v>2023</v>
      </c>
      <c r="S7" s="165">
        <v>2023</v>
      </c>
      <c r="T7" s="164">
        <v>2024</v>
      </c>
      <c r="U7" s="165">
        <v>2024</v>
      </c>
      <c r="V7" s="166">
        <v>2024</v>
      </c>
      <c r="W7" s="165">
        <v>2024</v>
      </c>
      <c r="X7" s="164">
        <v>2025</v>
      </c>
      <c r="Y7" s="165">
        <f>X7</f>
        <v>2025</v>
      </c>
      <c r="Z7" s="166">
        <f>X7</f>
        <v>2025</v>
      </c>
      <c r="AA7" s="165">
        <f>X7</f>
        <v>2025</v>
      </c>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c r="CW7" s="7"/>
      <c r="CX7" s="7"/>
      <c r="CY7" s="7"/>
      <c r="CZ7" s="7"/>
      <c r="DA7" s="7"/>
      <c r="DB7" s="7"/>
      <c r="DC7" s="7"/>
      <c r="DD7" s="7"/>
      <c r="DE7" s="7"/>
      <c r="DF7" s="7"/>
      <c r="DG7" s="7"/>
      <c r="DH7" s="7"/>
      <c r="DI7" s="7"/>
      <c r="DJ7" s="7"/>
      <c r="DK7" s="7"/>
      <c r="DL7" s="7"/>
      <c r="DM7" s="7"/>
      <c r="DN7" s="7"/>
      <c r="DO7" s="7"/>
      <c r="DP7" s="7"/>
      <c r="DQ7" s="7"/>
      <c r="DR7" s="7"/>
      <c r="DS7" s="7"/>
      <c r="DT7" s="7"/>
      <c r="DU7" s="7"/>
      <c r="DV7" s="7"/>
      <c r="DW7" s="7"/>
      <c r="DX7" s="7"/>
      <c r="DY7" s="7"/>
      <c r="DZ7" s="7"/>
      <c r="EA7" s="7"/>
      <c r="EB7" s="7"/>
      <c r="EC7" s="7"/>
      <c r="ED7" s="7"/>
      <c r="EE7" s="7"/>
      <c r="EF7" s="7"/>
      <c r="EG7" s="7"/>
      <c r="EH7" s="7"/>
      <c r="EI7" s="7"/>
      <c r="EJ7" s="7"/>
      <c r="EK7" s="7"/>
      <c r="EL7" s="7"/>
      <c r="EM7" s="7"/>
      <c r="EN7" s="7"/>
      <c r="EO7" s="7"/>
      <c r="EP7" s="7"/>
      <c r="EQ7" s="7"/>
      <c r="ER7" s="7"/>
      <c r="ES7" s="7"/>
      <c r="ET7" s="7"/>
      <c r="EU7" s="7"/>
      <c r="EV7" s="7"/>
      <c r="EW7" s="7"/>
      <c r="EX7" s="7"/>
      <c r="EY7" s="7"/>
      <c r="EZ7" s="7"/>
      <c r="FA7" s="7"/>
      <c r="FB7" s="7"/>
      <c r="FC7" s="7"/>
      <c r="FD7" s="7"/>
      <c r="FE7" s="7"/>
      <c r="FF7" s="7"/>
      <c r="FG7" s="7"/>
      <c r="FH7" s="7"/>
      <c r="FI7" s="7"/>
      <c r="FJ7" s="7"/>
      <c r="FK7" s="7"/>
      <c r="FL7" s="7"/>
      <c r="FM7" s="7"/>
      <c r="FN7" s="7"/>
      <c r="FO7" s="7"/>
      <c r="FP7" s="7"/>
      <c r="FQ7" s="7"/>
      <c r="FR7" s="7"/>
      <c r="FS7" s="7"/>
      <c r="FT7" s="7"/>
      <c r="FU7" s="7"/>
      <c r="FV7" s="7"/>
      <c r="FW7" s="7"/>
      <c r="FX7" s="7"/>
      <c r="FY7" s="7"/>
      <c r="FZ7" s="7"/>
      <c r="GA7" s="7"/>
      <c r="GB7" s="7"/>
      <c r="GC7" s="7"/>
      <c r="GD7" s="7"/>
      <c r="GE7" s="7"/>
      <c r="GF7" s="7"/>
      <c r="GG7" s="7"/>
      <c r="GH7" s="7"/>
      <c r="GI7" s="7"/>
      <c r="GJ7" s="7"/>
      <c r="GK7" s="7"/>
      <c r="GL7" s="7"/>
      <c r="GM7" s="7"/>
      <c r="GN7" s="7"/>
      <c r="GO7" s="7"/>
      <c r="GP7" s="7"/>
      <c r="GQ7" s="7"/>
      <c r="GR7" s="7"/>
      <c r="GS7" s="7"/>
      <c r="GT7" s="7"/>
      <c r="GU7" s="7"/>
      <c r="GV7" s="7"/>
      <c r="GW7" s="7"/>
      <c r="GX7" s="7"/>
      <c r="GY7" s="7"/>
      <c r="GZ7" s="7"/>
      <c r="HA7" s="7"/>
      <c r="HB7" s="7"/>
      <c r="HC7" s="7"/>
      <c r="HD7" s="7"/>
      <c r="HE7" s="7"/>
      <c r="HF7" s="7"/>
      <c r="HG7" s="7"/>
      <c r="HH7" s="7"/>
      <c r="HI7" s="7"/>
      <c r="HJ7" s="7"/>
      <c r="HK7" s="7"/>
      <c r="HL7" s="7"/>
      <c r="HM7" s="7"/>
      <c r="HN7" s="7"/>
      <c r="HO7" s="7"/>
      <c r="HP7" s="7"/>
      <c r="HQ7" s="7"/>
      <c r="HR7" s="7"/>
      <c r="HS7" s="7"/>
      <c r="HT7" s="7"/>
      <c r="HU7" s="7"/>
      <c r="HV7" s="7"/>
      <c r="HW7" s="7"/>
      <c r="HX7" s="7"/>
      <c r="HY7" s="7"/>
      <c r="HZ7" s="7"/>
      <c r="IA7" s="7"/>
      <c r="IB7" s="7"/>
      <c r="IC7" s="7"/>
      <c r="ID7" s="7"/>
      <c r="IE7" s="7"/>
    </row>
    <row r="8" spans="1:239" ht="72" x14ac:dyDescent="0.25">
      <c r="A8" s="6"/>
      <c r="B8" s="193"/>
      <c r="C8" s="167"/>
      <c r="D8" s="168" t="s">
        <v>102</v>
      </c>
      <c r="E8" s="169" t="s">
        <v>45</v>
      </c>
      <c r="F8" s="170" t="s">
        <v>46</v>
      </c>
      <c r="G8" s="169" t="s">
        <v>103</v>
      </c>
      <c r="H8" s="168" t="s">
        <v>102</v>
      </c>
      <c r="I8" s="169" t="s">
        <v>45</v>
      </c>
      <c r="J8" s="170" t="s">
        <v>46</v>
      </c>
      <c r="K8" s="169" t="s">
        <v>103</v>
      </c>
      <c r="L8" s="168" t="s">
        <v>102</v>
      </c>
      <c r="M8" s="169" t="s">
        <v>45</v>
      </c>
      <c r="N8" s="170" t="s">
        <v>46</v>
      </c>
      <c r="O8" s="169" t="s">
        <v>103</v>
      </c>
      <c r="P8" s="168" t="s">
        <v>102</v>
      </c>
      <c r="Q8" s="169" t="s">
        <v>45</v>
      </c>
      <c r="R8" s="170" t="s">
        <v>46</v>
      </c>
      <c r="S8" s="169" t="s">
        <v>103</v>
      </c>
      <c r="T8" s="168" t="s">
        <v>102</v>
      </c>
      <c r="U8" s="169" t="s">
        <v>45</v>
      </c>
      <c r="V8" s="170" t="s">
        <v>46</v>
      </c>
      <c r="W8" s="169" t="s">
        <v>103</v>
      </c>
      <c r="X8" s="168" t="s">
        <v>102</v>
      </c>
      <c r="Y8" s="169" t="s">
        <v>45</v>
      </c>
      <c r="Z8" s="170" t="s">
        <v>46</v>
      </c>
      <c r="AA8" s="169" t="s">
        <v>103</v>
      </c>
    </row>
    <row r="9" spans="1:239" ht="18" x14ac:dyDescent="0.25">
      <c r="A9" s="6"/>
      <c r="B9" s="193"/>
      <c r="C9" s="167"/>
      <c r="D9" s="168" t="s">
        <v>62</v>
      </c>
      <c r="E9" s="168" t="s">
        <v>62</v>
      </c>
      <c r="F9" s="168" t="s">
        <v>62</v>
      </c>
      <c r="G9" s="171" t="s">
        <v>47</v>
      </c>
      <c r="H9" s="168" t="s">
        <v>62</v>
      </c>
      <c r="I9" s="168" t="s">
        <v>62</v>
      </c>
      <c r="J9" s="168" t="s">
        <v>62</v>
      </c>
      <c r="K9" s="171" t="s">
        <v>47</v>
      </c>
      <c r="L9" s="168" t="s">
        <v>116</v>
      </c>
      <c r="M9" s="168" t="s">
        <v>116</v>
      </c>
      <c r="N9" s="169" t="s">
        <v>116</v>
      </c>
      <c r="O9" s="171" t="s">
        <v>47</v>
      </c>
      <c r="P9" s="168" t="s">
        <v>116</v>
      </c>
      <c r="Q9" s="168" t="s">
        <v>116</v>
      </c>
      <c r="R9" s="169" t="s">
        <v>116</v>
      </c>
      <c r="S9" s="171" t="s">
        <v>47</v>
      </c>
      <c r="T9" s="168" t="s">
        <v>116</v>
      </c>
      <c r="U9" s="168" t="s">
        <v>116</v>
      </c>
      <c r="V9" s="169" t="s">
        <v>116</v>
      </c>
      <c r="W9" s="171" t="s">
        <v>47</v>
      </c>
      <c r="X9" s="168" t="s">
        <v>116</v>
      </c>
      <c r="Y9" s="168" t="s">
        <v>116</v>
      </c>
      <c r="Z9" s="169" t="s">
        <v>116</v>
      </c>
      <c r="AA9" s="171" t="s">
        <v>47</v>
      </c>
    </row>
    <row r="10" spans="1:239" ht="17.25" customHeight="1" x14ac:dyDescent="0.25">
      <c r="A10" s="6"/>
      <c r="B10" s="193"/>
      <c r="C10" s="168" t="s">
        <v>212</v>
      </c>
      <c r="D10" s="168" t="s">
        <v>201</v>
      </c>
      <c r="E10" s="168" t="s">
        <v>201</v>
      </c>
      <c r="F10" s="168" t="s">
        <v>201</v>
      </c>
      <c r="G10" s="171" t="s">
        <v>64</v>
      </c>
      <c r="H10" s="168" t="s">
        <v>201</v>
      </c>
      <c r="I10" s="168" t="s">
        <v>201</v>
      </c>
      <c r="J10" s="168" t="s">
        <v>201</v>
      </c>
      <c r="K10" s="171" t="s">
        <v>64</v>
      </c>
      <c r="L10" s="168" t="s">
        <v>39</v>
      </c>
      <c r="M10" s="172" t="s">
        <v>39</v>
      </c>
      <c r="N10" s="173" t="s">
        <v>39</v>
      </c>
      <c r="O10" s="171" t="s">
        <v>64</v>
      </c>
      <c r="P10" s="168" t="s">
        <v>39</v>
      </c>
      <c r="Q10" s="172" t="s">
        <v>39</v>
      </c>
      <c r="R10" s="173" t="s">
        <v>39</v>
      </c>
      <c r="S10" s="171" t="s">
        <v>64</v>
      </c>
      <c r="T10" s="168" t="s">
        <v>39</v>
      </c>
      <c r="U10" s="172" t="s">
        <v>39</v>
      </c>
      <c r="V10" s="173" t="s">
        <v>39</v>
      </c>
      <c r="W10" s="171" t="s">
        <v>64</v>
      </c>
      <c r="X10" s="168" t="s">
        <v>39</v>
      </c>
      <c r="Y10" s="172" t="s">
        <v>39</v>
      </c>
      <c r="Z10" s="173" t="s">
        <v>39</v>
      </c>
      <c r="AA10" s="171" t="s">
        <v>64</v>
      </c>
    </row>
    <row r="11" spans="1:239" ht="18.75" thickBot="1" x14ac:dyDescent="0.3">
      <c r="A11" s="6"/>
      <c r="B11" s="193"/>
      <c r="C11" s="174"/>
      <c r="D11" s="175">
        <v>44196</v>
      </c>
      <c r="E11" s="175">
        <v>44196</v>
      </c>
      <c r="F11" s="175">
        <v>44196</v>
      </c>
      <c r="G11" s="175">
        <v>44196</v>
      </c>
      <c r="H11" s="175">
        <v>44561</v>
      </c>
      <c r="I11" s="175">
        <f t="shared" ref="I11:W11" si="0">H11</f>
        <v>44561</v>
      </c>
      <c r="J11" s="175">
        <f t="shared" si="0"/>
        <v>44561</v>
      </c>
      <c r="K11" s="175">
        <f t="shared" si="0"/>
        <v>44561</v>
      </c>
      <c r="L11" s="175">
        <v>44866</v>
      </c>
      <c r="M11" s="175">
        <f t="shared" si="0"/>
        <v>44866</v>
      </c>
      <c r="N11" s="175">
        <f t="shared" si="0"/>
        <v>44866</v>
      </c>
      <c r="O11" s="175">
        <f t="shared" si="0"/>
        <v>44866</v>
      </c>
      <c r="P11" s="175">
        <f t="shared" ref="P11" si="1">O11</f>
        <v>44866</v>
      </c>
      <c r="Q11" s="175">
        <f t="shared" ref="Q11" si="2">P11</f>
        <v>44866</v>
      </c>
      <c r="R11" s="175">
        <f t="shared" ref="R11" si="3">Q11</f>
        <v>44866</v>
      </c>
      <c r="S11" s="175">
        <f t="shared" ref="S11" si="4">R11</f>
        <v>44866</v>
      </c>
      <c r="T11" s="175">
        <f>O11</f>
        <v>44866</v>
      </c>
      <c r="U11" s="175">
        <f t="shared" si="0"/>
        <v>44866</v>
      </c>
      <c r="V11" s="175">
        <f t="shared" si="0"/>
        <v>44866</v>
      </c>
      <c r="W11" s="175">
        <f t="shared" si="0"/>
        <v>44866</v>
      </c>
      <c r="X11" s="175">
        <f t="shared" ref="X11" si="5">W11</f>
        <v>44866</v>
      </c>
      <c r="Y11" s="175">
        <f t="shared" ref="Y11" si="6">X11</f>
        <v>44866</v>
      </c>
      <c r="Z11" s="175">
        <f t="shared" ref="Z11" si="7">Y11</f>
        <v>44866</v>
      </c>
      <c r="AA11" s="175">
        <f t="shared" ref="AA11" si="8">Z11</f>
        <v>44866</v>
      </c>
    </row>
    <row r="12" spans="1:239" ht="18.75" thickBot="1" x14ac:dyDescent="0.3">
      <c r="A12" s="6"/>
      <c r="B12" s="193"/>
      <c r="C12" s="541" t="s">
        <v>8</v>
      </c>
      <c r="D12" s="541"/>
      <c r="E12" s="541"/>
      <c r="F12" s="541"/>
      <c r="G12" s="541"/>
      <c r="H12" s="541"/>
      <c r="I12" s="541"/>
      <c r="J12" s="541"/>
      <c r="K12" s="541"/>
      <c r="L12" s="541"/>
      <c r="M12" s="541"/>
      <c r="N12" s="541"/>
      <c r="O12" s="541"/>
      <c r="P12" s="541"/>
      <c r="Q12" s="541"/>
      <c r="R12" s="541"/>
      <c r="S12" s="541"/>
      <c r="T12" s="541"/>
      <c r="U12" s="541"/>
      <c r="V12" s="541"/>
      <c r="W12" s="541"/>
      <c r="X12" s="506"/>
      <c r="Y12" s="506"/>
      <c r="Z12" s="506"/>
      <c r="AA12" s="506"/>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FX12" s="8"/>
      <c r="FY12" s="8"/>
      <c r="FZ12" s="8"/>
      <c r="GA12" s="8"/>
      <c r="GB12" s="8"/>
      <c r="GC12" s="8"/>
      <c r="GD12" s="8"/>
      <c r="GE12" s="8"/>
      <c r="GF12" s="8"/>
      <c r="GG12" s="8"/>
      <c r="GH12" s="8"/>
      <c r="GI12" s="8"/>
      <c r="GJ12" s="8"/>
      <c r="GK12" s="8"/>
      <c r="GL12" s="8"/>
      <c r="GM12" s="8"/>
      <c r="GN12" s="8"/>
      <c r="GO12" s="8"/>
      <c r="GP12" s="8"/>
      <c r="GQ12" s="8"/>
      <c r="GR12" s="8"/>
      <c r="GS12" s="8"/>
      <c r="GT12" s="8"/>
      <c r="GU12" s="8"/>
      <c r="GV12" s="8"/>
      <c r="GW12" s="8"/>
      <c r="GX12" s="8"/>
      <c r="GY12" s="8"/>
      <c r="GZ12" s="8"/>
      <c r="HA12" s="8"/>
      <c r="HB12" s="8"/>
      <c r="HC12" s="8"/>
      <c r="HD12" s="8"/>
      <c r="HE12" s="8"/>
      <c r="HF12" s="8"/>
      <c r="HG12" s="8"/>
      <c r="HH12" s="8"/>
      <c r="HI12" s="8"/>
      <c r="HJ12" s="8"/>
      <c r="HK12" s="8"/>
      <c r="HL12" s="8"/>
      <c r="HM12" s="8"/>
      <c r="HN12" s="8"/>
      <c r="HO12" s="8"/>
      <c r="HP12" s="8"/>
      <c r="HQ12" s="8"/>
      <c r="HR12" s="8"/>
      <c r="HS12" s="8"/>
      <c r="HT12" s="8"/>
      <c r="HU12" s="8"/>
      <c r="HV12" s="8"/>
      <c r="HW12" s="8"/>
      <c r="HX12" s="8"/>
      <c r="HY12" s="8"/>
      <c r="HZ12" s="8"/>
      <c r="IA12" s="8"/>
      <c r="IB12" s="8"/>
      <c r="IC12" s="8"/>
      <c r="ID12" s="8"/>
      <c r="IE12" s="8"/>
    </row>
    <row r="13" spans="1:239" ht="18.75" thickBot="1" x14ac:dyDescent="0.3">
      <c r="A13" s="9" t="s">
        <v>0</v>
      </c>
      <c r="B13" s="193"/>
      <c r="C13" s="177" t="s">
        <v>9</v>
      </c>
      <c r="D13" s="178">
        <f>'ES CT Gas Table A'!D13</f>
        <v>489620</v>
      </c>
      <c r="E13" s="179">
        <f>'[9]CNG Table A'!$I$13</f>
        <v>470451</v>
      </c>
      <c r="F13" s="178">
        <f>'[9]SCG Table A'!$I$13</f>
        <v>463333</v>
      </c>
      <c r="G13" s="178">
        <f>SUM(D13:F13)</f>
        <v>1423404</v>
      </c>
      <c r="H13" s="178">
        <f>'ES CT Gas Table A'!F13</f>
        <v>822507.64</v>
      </c>
      <c r="I13" s="179">
        <f>'[10]CNG Table A'!$E$13</f>
        <v>21028</v>
      </c>
      <c r="J13" s="178">
        <f>'[10]SCG Table A'!$E$13</f>
        <v>6016</v>
      </c>
      <c r="K13" s="178">
        <f>SUM(H13:J13)</f>
        <v>849551.64</v>
      </c>
      <c r="L13" s="178">
        <f>'ES CT Gas Table A'!I13</f>
        <v>519888.75177892495</v>
      </c>
      <c r="M13" s="179">
        <f>'[10]CNG Table A'!$G$13</f>
        <v>480479.74209008168</v>
      </c>
      <c r="N13" s="178">
        <f>'[10]SCG Table A'!$G$13</f>
        <v>533017.77992057626</v>
      </c>
      <c r="O13" s="178">
        <f>SUM(L13:N13)</f>
        <v>1533386.2737895828</v>
      </c>
      <c r="P13" s="178">
        <f>'ES CT Gas Table A'!L13</f>
        <v>317700.75177892495</v>
      </c>
      <c r="Q13" s="179">
        <f>'[11]CNG Table A'!J13</f>
        <v>293761.55409718014</v>
      </c>
      <c r="R13" s="178">
        <f>'[11]SCG Table A'!J13</f>
        <v>325476.62145017151</v>
      </c>
      <c r="S13" s="178">
        <f>SUM(P13:R13)</f>
        <v>936938.92732627667</v>
      </c>
      <c r="T13" s="178">
        <f>'ES CT Gas Table A'!N13</f>
        <v>127080.550355785</v>
      </c>
      <c r="U13" s="179">
        <f>'[11]CNG Table A'!M13</f>
        <v>117504.62163887206</v>
      </c>
      <c r="V13" s="178">
        <f>'[11]SCG Table A'!M13</f>
        <v>130190.64858006861</v>
      </c>
      <c r="W13" s="178">
        <f>SUM(T13:V13)</f>
        <v>374775.82057472569</v>
      </c>
      <c r="X13" s="178">
        <f>'ES CT Gas Table A'!O13</f>
        <v>63540.275177892501</v>
      </c>
      <c r="Y13" s="179">
        <f>'[11]CNG Table A'!N13</f>
        <v>58752.310819436032</v>
      </c>
      <c r="Z13" s="178">
        <f>'[11]SCG Table A'!N13</f>
        <v>65095.324290034303</v>
      </c>
      <c r="AA13" s="178">
        <f>SUM(X13:Z13)</f>
        <v>187387.91028736284</v>
      </c>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row>
    <row r="14" spans="1:239" ht="18.75" thickBot="1" x14ac:dyDescent="0.3">
      <c r="A14" s="9" t="s">
        <v>0</v>
      </c>
      <c r="B14" s="193"/>
      <c r="C14" s="177" t="s">
        <v>307</v>
      </c>
      <c r="D14" s="178">
        <f>'ES CT Gas Table A'!D14</f>
        <v>2893620</v>
      </c>
      <c r="E14" s="179">
        <f>'[9]CNG Table A'!$I$14</f>
        <v>2497610</v>
      </c>
      <c r="F14" s="178">
        <f>'[9]SCG Table A'!$I$14</f>
        <v>2556209</v>
      </c>
      <c r="G14" s="178">
        <f>SUM(D14:F14)</f>
        <v>7947439</v>
      </c>
      <c r="H14" s="178">
        <f>'ES CT Gas Table A'!F14</f>
        <v>4608941.76</v>
      </c>
      <c r="I14" s="179">
        <f>'[10]CNG Table A'!$E$14</f>
        <v>4516900</v>
      </c>
      <c r="J14" s="178">
        <f>'[10]SCG Table A'!$E$14</f>
        <v>3888662</v>
      </c>
      <c r="K14" s="178">
        <f>SUM(H14:J14)</f>
        <v>13014503.76</v>
      </c>
      <c r="L14" s="178">
        <f>'ES CT Gas Table A'!I14</f>
        <v>1811975.3862450402</v>
      </c>
      <c r="M14" s="179">
        <f>'[10]CNG Table A'!$G$14</f>
        <v>2689118.5486931698</v>
      </c>
      <c r="N14" s="178">
        <f>'[10]SCG Table A'!$G$14</f>
        <v>1994681.0564015105</v>
      </c>
      <c r="O14" s="178">
        <f>SUM(L14:N14)</f>
        <v>6495774.9913397208</v>
      </c>
      <c r="P14" s="178">
        <f>'ES CT Gas Table A'!L14</f>
        <v>3266170.3862450402</v>
      </c>
      <c r="Q14" s="179">
        <f>'[11]CNG Table A'!J14</f>
        <v>3317020.5047965101</v>
      </c>
      <c r="R14" s="178">
        <f>'[11]SCG Table A'!J14</f>
        <v>3018666.8668640885</v>
      </c>
      <c r="S14" s="178">
        <f>SUM(P14:R14)</f>
        <v>9601857.7579056397</v>
      </c>
      <c r="T14" s="178">
        <f>'ES CT Gas Table A'!N14</f>
        <v>3744974.3862450402</v>
      </c>
      <c r="U14" s="179">
        <f>'[11]CNG Table A'!M14</f>
        <v>3331236.7278325986</v>
      </c>
      <c r="V14" s="178">
        <f>'[11]SCG Table A'!M14</f>
        <v>3116266.6701221615</v>
      </c>
      <c r="W14" s="178">
        <f>SUM(T14:V14)</f>
        <v>10192477.7841998</v>
      </c>
      <c r="X14" s="178">
        <f>'ES CT Gas Table A'!O14</f>
        <v>3812981.3862450402</v>
      </c>
      <c r="Y14" s="179">
        <v>3376762</v>
      </c>
      <c r="Z14" s="178">
        <v>3186708</v>
      </c>
      <c r="AA14" s="178">
        <f>SUM(X14:Z14)</f>
        <v>10376451.38624504</v>
      </c>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row>
    <row r="15" spans="1:239" ht="18.75" thickBot="1" x14ac:dyDescent="0.3">
      <c r="A15" s="9" t="s">
        <v>0</v>
      </c>
      <c r="B15" s="193"/>
      <c r="C15" s="177" t="s">
        <v>347</v>
      </c>
      <c r="D15" s="178">
        <f>'ES CT Gas Table A'!D15</f>
        <v>4573515</v>
      </c>
      <c r="E15" s="179">
        <f>'[9]CNG Table A'!$I$15</f>
        <v>2683072</v>
      </c>
      <c r="F15" s="178">
        <f>'[9]SCG Table A'!$I$15</f>
        <v>3256694</v>
      </c>
      <c r="G15" s="178">
        <f>D15+E15+F15</f>
        <v>10513281</v>
      </c>
      <c r="H15" s="178">
        <f>'ES CT Gas Table A'!F15</f>
        <v>4394965</v>
      </c>
      <c r="I15" s="179">
        <f>'[10]CNG Table A'!$E$15</f>
        <v>3010011</v>
      </c>
      <c r="J15" s="178">
        <f>'[10]SCG Table A'!$E$15</f>
        <v>3675770</v>
      </c>
      <c r="K15" s="178">
        <f>H15+I15+J15</f>
        <v>11080746</v>
      </c>
      <c r="L15" s="178">
        <f>'ES CT Gas Table A'!I15</f>
        <v>3752229.8734730501</v>
      </c>
      <c r="M15" s="179">
        <f>'[10]CNG Table A'!$G$15</f>
        <v>1356035.2151158133</v>
      </c>
      <c r="N15" s="178">
        <f>'[10]SCG Table A'!$G$15</f>
        <v>1412137.7400000002</v>
      </c>
      <c r="O15" s="178">
        <f>L15+M15+N15</f>
        <v>6520402.8285888638</v>
      </c>
      <c r="P15" s="178">
        <f>'ES CT Gas Table A'!L15</f>
        <v>3041652.8734730501</v>
      </c>
      <c r="Q15" s="179">
        <f>'[11]CNG Table A'!J15</f>
        <v>1062339.0412094784</v>
      </c>
      <c r="R15" s="178">
        <f>'[11]SCG Table A'!J15</f>
        <v>1174703.2309999999</v>
      </c>
      <c r="S15" s="178">
        <f>P15+Q15+R15</f>
        <v>5278695.1456825286</v>
      </c>
      <c r="T15" s="178">
        <f>'ES CT Gas Table A'!N15</f>
        <v>3041652.8734730501</v>
      </c>
      <c r="U15" s="179">
        <f>'[11]CNG Table A'!M15</f>
        <v>1062339.4158166039</v>
      </c>
      <c r="V15" s="178">
        <f>'[11]SCG Table A'!M15</f>
        <v>1174703.2309999999</v>
      </c>
      <c r="W15" s="178">
        <f>T15+U15+V15</f>
        <v>5278695.5202896539</v>
      </c>
      <c r="X15" s="178">
        <f>'ES CT Gas Table A'!O15</f>
        <v>3041652.8734730501</v>
      </c>
      <c r="Y15" s="179">
        <f>'[11]CNG Table A'!N15</f>
        <v>1062339.4158166039</v>
      </c>
      <c r="Z15" s="178">
        <f>'[11]SCG Table A'!N15</f>
        <v>1174703.2309999999</v>
      </c>
      <c r="AA15" s="178">
        <f>X15+Y15+Z15</f>
        <v>5278695.5202896539</v>
      </c>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row>
    <row r="16" spans="1:239" ht="18.75" thickBot="1" x14ac:dyDescent="0.3">
      <c r="A16" s="9" t="s">
        <v>0</v>
      </c>
      <c r="B16" s="193"/>
      <c r="C16" s="177" t="s">
        <v>219</v>
      </c>
      <c r="D16" s="178">
        <f>'ES CT Gas Table A'!D16</f>
        <v>4303596</v>
      </c>
      <c r="E16" s="179">
        <f>'[9]CNG Table A'!$I$16</f>
        <v>96254</v>
      </c>
      <c r="F16" s="178">
        <f>'[9]SCG Table A'!$I$16</f>
        <v>1680548</v>
      </c>
      <c r="G16" s="178">
        <f>D16+E16+F16</f>
        <v>6080398</v>
      </c>
      <c r="H16" s="178">
        <f>'ES CT Gas Table A'!F16</f>
        <v>6126982</v>
      </c>
      <c r="I16" s="179">
        <f>'[10]CNG Table A'!$E$16</f>
        <v>3696772</v>
      </c>
      <c r="J16" s="178">
        <f>'[10]SCG Table A'!$E$16</f>
        <v>3088035</v>
      </c>
      <c r="K16" s="178">
        <f>H16+I16+J16</f>
        <v>12911789</v>
      </c>
      <c r="L16" s="178">
        <f>'ES CT Gas Table A'!I16</f>
        <v>3395274.2081856499</v>
      </c>
      <c r="M16" s="179">
        <f>'[10]CNG Table A'!$G$16</f>
        <v>3735755.1693553999</v>
      </c>
      <c r="N16" s="178">
        <f>'[10]SCG Table A'!$G$16</f>
        <v>2663429.4900000002</v>
      </c>
      <c r="O16" s="178">
        <f>L16+M16+N16</f>
        <v>9794458.8675410505</v>
      </c>
      <c r="P16" s="178">
        <f>'ES CT Gas Table A'!L16</f>
        <v>5046220.6981856497</v>
      </c>
      <c r="Q16" s="179">
        <f>'[11]CNG Table A'!J16</f>
        <v>4737409.9147097096</v>
      </c>
      <c r="R16" s="178">
        <f>'[11]SCG Table A'!J16</f>
        <v>3876844.8191903494</v>
      </c>
      <c r="S16" s="178">
        <f>P16+Q16+R16</f>
        <v>13660475.432085708</v>
      </c>
      <c r="T16" s="178">
        <f>'ES CT Gas Table A'!N16</f>
        <v>5108944.6981856497</v>
      </c>
      <c r="U16" s="179">
        <f>'[11]CNG Table A'!M16</f>
        <v>4862141.4270319892</v>
      </c>
      <c r="V16" s="178">
        <f>'[11]SCG Table A'!M16</f>
        <v>4058315.4133377485</v>
      </c>
      <c r="W16" s="178">
        <f>T16+U16+V16</f>
        <v>14029401.538555387</v>
      </c>
      <c r="X16" s="178">
        <f>'ES CT Gas Table A'!O16</f>
        <v>5176951.6981856497</v>
      </c>
      <c r="Y16" s="179">
        <f>'[11]CNG Table A'!N16</f>
        <v>4918338.133831637</v>
      </c>
      <c r="Z16" s="178">
        <f>'[11]SCG Table A'!N16</f>
        <v>4148700.1542816451</v>
      </c>
      <c r="AA16" s="178">
        <f>X16+Y16+Z16</f>
        <v>14243989.986298934</v>
      </c>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c r="DB16" s="6"/>
      <c r="DC16" s="6"/>
      <c r="DD16" s="6"/>
      <c r="DE16" s="6"/>
      <c r="DF16" s="6"/>
      <c r="DG16" s="6"/>
      <c r="DH16" s="6"/>
      <c r="DI16" s="6"/>
      <c r="DJ16" s="6"/>
      <c r="DK16" s="6"/>
      <c r="DL16" s="6"/>
      <c r="DM16" s="6"/>
      <c r="DN16" s="6"/>
      <c r="DO16" s="6"/>
      <c r="DP16" s="6"/>
      <c r="DQ16" s="6"/>
      <c r="DR16" s="6"/>
      <c r="DS16" s="6"/>
      <c r="DT16" s="6"/>
      <c r="DU16" s="6"/>
      <c r="DV16" s="6"/>
      <c r="DW16" s="6"/>
      <c r="DX16" s="6"/>
      <c r="DY16" s="6"/>
      <c r="DZ16" s="6"/>
      <c r="EA16" s="6"/>
      <c r="EB16" s="6"/>
      <c r="EC16" s="6"/>
      <c r="ED16" s="6"/>
      <c r="EE16" s="6"/>
      <c r="EF16" s="6"/>
      <c r="EG16" s="6"/>
      <c r="EH16" s="6"/>
      <c r="EI16" s="6"/>
      <c r="EJ16" s="6"/>
      <c r="EK16" s="6"/>
      <c r="EL16" s="6"/>
      <c r="EM16" s="6"/>
      <c r="EN16" s="6"/>
      <c r="EO16" s="6"/>
      <c r="EP16" s="6"/>
      <c r="EQ16" s="6"/>
      <c r="ER16" s="6"/>
      <c r="ES16" s="6"/>
      <c r="ET16" s="6"/>
      <c r="EU16" s="6"/>
      <c r="EV16" s="6"/>
      <c r="EW16" s="6"/>
      <c r="EX16" s="6"/>
      <c r="EY16" s="6"/>
      <c r="EZ16" s="6"/>
      <c r="FA16" s="6"/>
      <c r="FB16" s="6"/>
      <c r="FC16" s="6"/>
      <c r="FD16" s="6"/>
      <c r="FE16" s="6"/>
      <c r="FF16" s="6"/>
      <c r="FG16" s="6"/>
      <c r="FH16" s="6"/>
      <c r="FI16" s="6"/>
      <c r="FJ16" s="6"/>
      <c r="FK16" s="6"/>
      <c r="FL16" s="6"/>
      <c r="FM16" s="6"/>
      <c r="FN16" s="6"/>
      <c r="FO16" s="6"/>
      <c r="FP16" s="6"/>
      <c r="FQ16" s="6"/>
      <c r="FR16" s="6"/>
      <c r="FS16" s="6"/>
      <c r="FT16" s="6"/>
      <c r="FU16" s="6"/>
      <c r="FV16" s="6"/>
      <c r="FW16" s="6"/>
      <c r="FX16" s="6"/>
      <c r="FY16" s="6"/>
      <c r="FZ16" s="6"/>
      <c r="GA16" s="6"/>
      <c r="GB16" s="6"/>
      <c r="GC16" s="6"/>
      <c r="GD16" s="6"/>
      <c r="GE16" s="6"/>
      <c r="GF16" s="6"/>
      <c r="GG16" s="6"/>
      <c r="GH16" s="6"/>
      <c r="GI16" s="6"/>
      <c r="GJ16" s="6"/>
      <c r="GK16" s="6"/>
      <c r="GL16" s="6"/>
      <c r="GM16" s="6"/>
      <c r="GN16" s="6"/>
      <c r="GO16" s="6"/>
      <c r="GP16" s="6"/>
      <c r="GQ16" s="6"/>
      <c r="GR16" s="6"/>
      <c r="GS16" s="6"/>
      <c r="GT16" s="6"/>
      <c r="GU16" s="6"/>
      <c r="GV16" s="6"/>
      <c r="GW16" s="6"/>
      <c r="GX16" s="6"/>
      <c r="GY16" s="6"/>
      <c r="GZ16" s="6"/>
      <c r="HA16" s="6"/>
      <c r="HB16" s="6"/>
      <c r="HC16" s="6"/>
      <c r="HD16" s="6"/>
      <c r="HE16" s="6"/>
      <c r="HF16" s="6"/>
      <c r="HG16" s="6"/>
      <c r="HH16" s="6"/>
      <c r="HI16" s="6"/>
      <c r="HJ16" s="6"/>
      <c r="HK16" s="6"/>
      <c r="HL16" s="6"/>
      <c r="HM16" s="6"/>
      <c r="HN16" s="6"/>
      <c r="HO16" s="6"/>
      <c r="HP16" s="6"/>
      <c r="HQ16" s="6"/>
      <c r="HR16" s="6"/>
      <c r="HS16" s="6"/>
      <c r="HT16" s="6"/>
      <c r="HU16" s="6"/>
      <c r="HV16" s="6"/>
      <c r="HW16" s="6"/>
      <c r="HX16" s="6"/>
      <c r="HY16" s="6"/>
      <c r="HZ16" s="6"/>
      <c r="IA16" s="6"/>
      <c r="IB16" s="6"/>
      <c r="IC16" s="6"/>
      <c r="ID16" s="6"/>
      <c r="IE16" s="6"/>
    </row>
    <row r="17" spans="1:239" ht="18.75" thickBot="1" x14ac:dyDescent="0.3">
      <c r="A17" s="9" t="s">
        <v>0</v>
      </c>
      <c r="B17" s="193"/>
      <c r="C17" s="177" t="s">
        <v>124</v>
      </c>
      <c r="D17" s="178">
        <f>'ES CT Gas Table A'!D17</f>
        <v>0</v>
      </c>
      <c r="E17" s="179">
        <f>'[9]CNG Table A'!$I$17</f>
        <v>151126</v>
      </c>
      <c r="F17" s="178">
        <f>'[9]SCG Table A'!$I$17</f>
        <v>151126</v>
      </c>
      <c r="G17" s="178">
        <f>D17+E17+F17</f>
        <v>302252</v>
      </c>
      <c r="H17" s="178">
        <f>'ES CT Gas Table A'!F17</f>
        <v>0</v>
      </c>
      <c r="I17" s="179">
        <f>'[10]CNG Table A'!$E$17</f>
        <v>62321</v>
      </c>
      <c r="J17" s="178">
        <f>'[10]SCG Table A'!$E$17</f>
        <v>145113</v>
      </c>
      <c r="K17" s="178">
        <f>H17+I17+J17</f>
        <v>207434</v>
      </c>
      <c r="L17" s="178">
        <f>'ES CT Gas Table A'!I17</f>
        <v>10000</v>
      </c>
      <c r="M17" s="179">
        <f>'[10]CNG Table A'!$G$17</f>
        <v>133390.88669326584</v>
      </c>
      <c r="N17" s="178">
        <f>'[10]SCG Table A'!$G$17</f>
        <v>118187.09494220393</v>
      </c>
      <c r="O17" s="178">
        <f>L17+M17+N17</f>
        <v>261577.98163546977</v>
      </c>
      <c r="P17" s="178">
        <f>'ES CT Gas Table A'!L17</f>
        <v>10000</v>
      </c>
      <c r="Q17" s="179">
        <f>'[11]CNG Table A'!J17</f>
        <v>171155.52915580795</v>
      </c>
      <c r="R17" s="178">
        <f>'[11]SCG Table A'!J17</f>
        <v>198719.80308169994</v>
      </c>
      <c r="S17" s="178">
        <f>P17+Q17+R17</f>
        <v>379875.33223750792</v>
      </c>
      <c r="T17" s="178">
        <f>'ES CT Gas Table A'!N17</f>
        <v>10000</v>
      </c>
      <c r="U17" s="179">
        <f>'[11]CNG Table A'!M17</f>
        <v>176102.00105573717</v>
      </c>
      <c r="V17" s="178">
        <f>'[11]SCG Table A'!M17</f>
        <v>223746.65157129063</v>
      </c>
      <c r="W17" s="178">
        <f>T17+U17+V17</f>
        <v>409848.65262702783</v>
      </c>
      <c r="X17" s="178">
        <f>'ES CT Gas Table A'!O17</f>
        <v>10000</v>
      </c>
      <c r="Y17" s="179">
        <f>'[11]CNG Table A'!N17</f>
        <v>177199.52260588371</v>
      </c>
      <c r="Z17" s="178">
        <f>'[11]SCG Table A'!N17</f>
        <v>223746.65157129063</v>
      </c>
      <c r="AA17" s="178">
        <f>X17+Y17+Z17</f>
        <v>410946.17417717434</v>
      </c>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row>
    <row r="18" spans="1:239" ht="18.75" thickBot="1" x14ac:dyDescent="0.3">
      <c r="A18" s="6"/>
      <c r="B18" s="193"/>
      <c r="C18" s="176" t="s">
        <v>213</v>
      </c>
      <c r="D18" s="180">
        <f t="shared" ref="D18:W18" si="9">SUM(D13:D17)</f>
        <v>12260351</v>
      </c>
      <c r="E18" s="180">
        <f t="shared" si="9"/>
        <v>5898513</v>
      </c>
      <c r="F18" s="180">
        <f t="shared" si="9"/>
        <v>8107910</v>
      </c>
      <c r="G18" s="180">
        <f t="shared" si="9"/>
        <v>26266774</v>
      </c>
      <c r="H18" s="180">
        <f t="shared" si="9"/>
        <v>15953396.399999999</v>
      </c>
      <c r="I18" s="180">
        <f t="shared" si="9"/>
        <v>11307032</v>
      </c>
      <c r="J18" s="180">
        <f t="shared" si="9"/>
        <v>10803596</v>
      </c>
      <c r="K18" s="180">
        <f t="shared" si="9"/>
        <v>38064024.399999999</v>
      </c>
      <c r="L18" s="180">
        <f t="shared" si="9"/>
        <v>9489368.2196826655</v>
      </c>
      <c r="M18" s="180">
        <f t="shared" si="9"/>
        <v>8394779.5619477313</v>
      </c>
      <c r="N18" s="180">
        <f t="shared" si="9"/>
        <v>6721453.161264291</v>
      </c>
      <c r="O18" s="180">
        <f t="shared" si="9"/>
        <v>24605600.942894686</v>
      </c>
      <c r="P18" s="180">
        <f t="shared" ref="P18:S18" si="10">SUM(P13:P17)</f>
        <v>11681744.709682666</v>
      </c>
      <c r="Q18" s="180">
        <f t="shared" si="10"/>
        <v>9581686.5439686868</v>
      </c>
      <c r="R18" s="180">
        <f t="shared" si="10"/>
        <v>8594411.3415863086</v>
      </c>
      <c r="S18" s="180">
        <f t="shared" si="10"/>
        <v>29857842.595237661</v>
      </c>
      <c r="T18" s="180">
        <f t="shared" si="9"/>
        <v>12032652.508259524</v>
      </c>
      <c r="U18" s="180">
        <f t="shared" si="9"/>
        <v>9549324.1933758017</v>
      </c>
      <c r="V18" s="180">
        <f t="shared" si="9"/>
        <v>8703222.6146112699</v>
      </c>
      <c r="W18" s="180">
        <f t="shared" si="9"/>
        <v>30285199.316246595</v>
      </c>
      <c r="X18" s="180">
        <f t="shared" ref="X18:AA18" si="11">SUM(X13:X17)</f>
        <v>12105126.233081631</v>
      </c>
      <c r="Y18" s="180">
        <f t="shared" si="11"/>
        <v>9593391.383073559</v>
      </c>
      <c r="Z18" s="180">
        <f t="shared" si="11"/>
        <v>8798953.3611429688</v>
      </c>
      <c r="AA18" s="180">
        <f t="shared" si="11"/>
        <v>30497470.977298167</v>
      </c>
    </row>
    <row r="19" spans="1:239" ht="18.75" thickBot="1" x14ac:dyDescent="0.3">
      <c r="A19" s="8"/>
      <c r="B19" s="193"/>
      <c r="C19" s="542" t="s">
        <v>1</v>
      </c>
      <c r="D19" s="542"/>
      <c r="E19" s="542"/>
      <c r="F19" s="542"/>
      <c r="G19" s="542"/>
      <c r="H19" s="542"/>
      <c r="I19" s="542"/>
      <c r="J19" s="542"/>
      <c r="K19" s="542"/>
      <c r="L19" s="542"/>
      <c r="M19" s="542"/>
      <c r="N19" s="542"/>
      <c r="O19" s="542"/>
      <c r="P19" s="542"/>
      <c r="Q19" s="542"/>
      <c r="R19" s="542"/>
      <c r="S19" s="542"/>
      <c r="T19" s="542"/>
      <c r="U19" s="542"/>
      <c r="V19" s="542"/>
      <c r="W19" s="542"/>
      <c r="X19" s="507"/>
      <c r="Y19" s="507"/>
      <c r="Z19" s="507"/>
      <c r="AA19" s="507"/>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row>
    <row r="20" spans="1:239" ht="18.75" thickBot="1" x14ac:dyDescent="0.3">
      <c r="A20" s="10" t="s">
        <v>2</v>
      </c>
      <c r="B20" s="193"/>
      <c r="C20" s="181" t="s">
        <v>10</v>
      </c>
      <c r="D20" s="178">
        <f>'ES CT Gas Table A'!D20</f>
        <v>3510955</v>
      </c>
      <c r="E20" s="178">
        <f>'[9]CNG Table A'!$I$22</f>
        <v>4145798</v>
      </c>
      <c r="F20" s="178">
        <f>'[9]SCG Table A'!$I$22</f>
        <v>2156813</v>
      </c>
      <c r="G20" s="178">
        <f>D20+E20+F20</f>
        <v>9813566</v>
      </c>
      <c r="H20" s="178">
        <f>'ES CT Gas Table A'!F20</f>
        <v>3754255</v>
      </c>
      <c r="I20" s="178">
        <f>'[10]CNG Table A'!$E$20</f>
        <v>3713683</v>
      </c>
      <c r="J20" s="178">
        <f>'[10]SCG Table A'!$E$20</f>
        <v>2906608</v>
      </c>
      <c r="K20" s="178">
        <f>H20+I20+J20</f>
        <v>10374546</v>
      </c>
      <c r="L20" s="178">
        <f>'ES CT Gas Table A'!I20</f>
        <v>3743509.1009455798</v>
      </c>
      <c r="M20" s="178">
        <f>'[10]CNG Table A'!$G$20</f>
        <v>1708700.7141989998</v>
      </c>
      <c r="N20" s="178">
        <f>'[10]SCG Table A'!$G$20</f>
        <v>1200880.6669574003</v>
      </c>
      <c r="O20" s="178">
        <f>L20+M20+N20</f>
        <v>6653090.4821019806</v>
      </c>
      <c r="P20" s="178">
        <f>'ES CT Gas Table A'!L20</f>
        <v>4160543.1009455798</v>
      </c>
      <c r="Q20" s="178">
        <f>'[11]CNG Table A'!J20</f>
        <v>1975107.6746147869</v>
      </c>
      <c r="R20" s="178">
        <f>'[11]SCG Table A'!J20</f>
        <v>1627060.417187348</v>
      </c>
      <c r="S20" s="178">
        <f>P20+Q20+R20</f>
        <v>7762711.1927477149</v>
      </c>
      <c r="T20" s="178">
        <f>'ES CT Gas Table A'!N20</f>
        <v>4160543.1009455798</v>
      </c>
      <c r="U20" s="178">
        <f>'[11]CNG Table A'!M20</f>
        <v>2032227.696005163</v>
      </c>
      <c r="V20" s="178">
        <f>'[11]SCG Table A'!M20</f>
        <v>1647315.9130596025</v>
      </c>
      <c r="W20" s="178">
        <f>T20+U20+V20</f>
        <v>7840086.7100103451</v>
      </c>
      <c r="X20" s="178">
        <f>'ES CT Gas Table A'!O20</f>
        <v>4160543.1009455798</v>
      </c>
      <c r="Y20" s="178">
        <f>'[11]CNG Table A'!N20</f>
        <v>2042302.8345758275</v>
      </c>
      <c r="Z20" s="178">
        <f>'[11]SCG Table A'!N20</f>
        <v>1667631.9415210411</v>
      </c>
      <c r="AA20" s="178">
        <f>X20+Y20+Z20</f>
        <v>7870477.8770424481</v>
      </c>
    </row>
    <row r="21" spans="1:239" ht="18.75" thickBot="1" x14ac:dyDescent="0.3">
      <c r="A21" s="10" t="s">
        <v>2</v>
      </c>
      <c r="B21" s="193"/>
      <c r="C21" s="177" t="s">
        <v>123</v>
      </c>
      <c r="D21" s="178">
        <f>'ES CT Gas Table A'!D21</f>
        <v>3377127</v>
      </c>
      <c r="E21" s="178">
        <f>'[9]CNG Table A'!$I$25</f>
        <v>813249</v>
      </c>
      <c r="F21" s="178">
        <f>'[9]SCG Table A'!$I$25</f>
        <v>2032986</v>
      </c>
      <c r="G21" s="178">
        <f>SUM(D21:F21)</f>
        <v>6223362</v>
      </c>
      <c r="H21" s="178">
        <f>'ES CT Gas Table A'!F21</f>
        <v>732274</v>
      </c>
      <c r="I21" s="178">
        <f>'[10]CNG Table A'!$E$21</f>
        <v>925543</v>
      </c>
      <c r="J21" s="178">
        <f>'[10]SCG Table A'!$E$21</f>
        <v>750905</v>
      </c>
      <c r="K21" s="178">
        <f>SUM(H21:J21)</f>
        <v>2408722</v>
      </c>
      <c r="L21" s="178">
        <f>'ES CT Gas Table A'!I21</f>
        <v>1497489.05094558</v>
      </c>
      <c r="M21" s="178">
        <f>'[10]CNG Table A'!$G$21</f>
        <v>1011721.7125900991</v>
      </c>
      <c r="N21" s="178">
        <f>'[10]SCG Table A'!$G$21</f>
        <v>822945.61635614105</v>
      </c>
      <c r="O21" s="178">
        <f>SUM(L21:N21)</f>
        <v>3332156.3798918203</v>
      </c>
      <c r="P21" s="178">
        <f>'ES CT Gas Table A'!L21</f>
        <v>3825064.5409455802</v>
      </c>
      <c r="Q21" s="178">
        <f>'[11]CNG Table A'!J21</f>
        <v>1152717.7822517415</v>
      </c>
      <c r="R21" s="178">
        <f>'[11]SCG Table A'!J21</f>
        <v>1072738.4886555539</v>
      </c>
      <c r="S21" s="178">
        <f>SUM(P21:R21)</f>
        <v>6050520.8118528761</v>
      </c>
      <c r="T21" s="178">
        <f>'ES CT Gas Table A'!N21</f>
        <v>3827265.5409455802</v>
      </c>
      <c r="U21" s="178">
        <f>'[11]CNG Table A'!M21</f>
        <v>1182948.5934229754</v>
      </c>
      <c r="V21" s="178">
        <f>'[11]SCG Table A'!M21</f>
        <v>1086025.4190404161</v>
      </c>
      <c r="W21" s="178">
        <f>SUM(T21:V21)</f>
        <v>6096239.553408972</v>
      </c>
      <c r="X21" s="178">
        <f>'ES CT Gas Table A'!O21</f>
        <v>3827265.5409455802</v>
      </c>
      <c r="Y21" s="178">
        <f>'[11]CNG Table A'!N21</f>
        <v>1188813.2763146306</v>
      </c>
      <c r="Z21" s="178">
        <f>'[11]SCG Table A'!N21</f>
        <v>1099419.1604279387</v>
      </c>
      <c r="AA21" s="178">
        <f>SUM(X21:Z21)</f>
        <v>6115497.9776881505</v>
      </c>
    </row>
    <row r="22" spans="1:239" ht="36.75" thickBot="1" x14ac:dyDescent="0.3">
      <c r="A22" s="10" t="s">
        <v>2</v>
      </c>
      <c r="B22" s="193"/>
      <c r="C22" s="183" t="s">
        <v>302</v>
      </c>
      <c r="D22" s="178">
        <f>'ES CT Gas Table A'!D22</f>
        <v>645936</v>
      </c>
      <c r="E22" s="178">
        <f>'[9]CNG Table A'!$I$26</f>
        <v>418511</v>
      </c>
      <c r="F22" s="178">
        <f>'[9]SCG Table A'!$I$26</f>
        <v>228959</v>
      </c>
      <c r="G22" s="178">
        <f>SUM(D22:F22)</f>
        <v>1293406</v>
      </c>
      <c r="H22" s="178">
        <f>'ES CT Gas Table A'!F22</f>
        <v>408183</v>
      </c>
      <c r="I22" s="178">
        <f>'[10]CNG Table A'!$E$22</f>
        <v>308472</v>
      </c>
      <c r="J22" s="178">
        <f>'[10]SCG Table A'!$E$22</f>
        <v>249022</v>
      </c>
      <c r="K22" s="178">
        <f>SUM(H22:J22)</f>
        <v>965677</v>
      </c>
      <c r="L22" s="178">
        <f>'ES CT Gas Table A'!I22</f>
        <v>473951.71374376002</v>
      </c>
      <c r="M22" s="178">
        <f>'[10]CNG Table A'!$G$22</f>
        <v>536581.49806664698</v>
      </c>
      <c r="N22" s="178">
        <f>'[10]SCG Table A'!$G$22</f>
        <v>369558.35938470898</v>
      </c>
      <c r="O22" s="178">
        <f>SUM(L22:N22)</f>
        <v>1380091.571195116</v>
      </c>
      <c r="P22" s="178">
        <f>'ES CT Gas Table A'!L22</f>
        <v>708371.71374376002</v>
      </c>
      <c r="Q22" s="178">
        <f>'[11]CNG Table A'!J22</f>
        <v>608762.80100521806</v>
      </c>
      <c r="R22" s="178">
        <f>'[11]SCG Table A'!J22</f>
        <v>481971.15184258</v>
      </c>
      <c r="S22" s="178">
        <f>SUM(P22:R22)</f>
        <v>1799105.6665915579</v>
      </c>
      <c r="T22" s="178">
        <f>'ES CT Gas Table A'!N22</f>
        <v>708371.71374376002</v>
      </c>
      <c r="U22" s="178">
        <f>'[11]CNG Table A'!M22</f>
        <v>624239.1142419352</v>
      </c>
      <c r="V22" s="178">
        <f>'[11]SCG Table A'!M22</f>
        <v>487916.94830691541</v>
      </c>
      <c r="W22" s="178">
        <f>SUM(T22:V22)</f>
        <v>1820527.7762926104</v>
      </c>
      <c r="X22" s="178">
        <f>'ES CT Gas Table A'!O22</f>
        <v>708371.71374376002</v>
      </c>
      <c r="Y22" s="178">
        <f>'[11]CNG Table A'!N22</f>
        <v>627333.89323229122</v>
      </c>
      <c r="Z22" s="178">
        <f>'[11]SCG Table A'!N22</f>
        <v>493934.33363661257</v>
      </c>
      <c r="AA22" s="178">
        <f>SUM(X22:Z22)</f>
        <v>1829639.940612664</v>
      </c>
    </row>
    <row r="23" spans="1:239" ht="18.75" thickBot="1" x14ac:dyDescent="0.3">
      <c r="A23" s="10" t="s">
        <v>2</v>
      </c>
      <c r="B23" s="193"/>
      <c r="C23" s="182" t="s">
        <v>122</v>
      </c>
      <c r="D23" s="178">
        <f>'ES CT Gas Table A'!D23</f>
        <v>125273</v>
      </c>
      <c r="E23" s="178">
        <f>'[9]CNG Table A'!$I$28</f>
        <v>118716</v>
      </c>
      <c r="F23" s="178">
        <f>'[9]SCG Table A'!$I$28</f>
        <v>237722</v>
      </c>
      <c r="G23" s="178">
        <f>SUM(D23:F23)</f>
        <v>481711</v>
      </c>
      <c r="H23" s="178">
        <f>'ES CT Gas Table A'!F23</f>
        <v>270988</v>
      </c>
      <c r="I23" s="178">
        <f>'[10]CNG Table A'!$E$23</f>
        <v>94822</v>
      </c>
      <c r="J23" s="178">
        <f>'[10]SCG Table A'!$E$23</f>
        <v>428445</v>
      </c>
      <c r="K23" s="178">
        <f>SUM(H23:J23)</f>
        <v>794255</v>
      </c>
      <c r="L23" s="178">
        <f>'ES CT Gas Table A'!I23</f>
        <v>487946.61648411001</v>
      </c>
      <c r="M23" s="178">
        <f>'[10]CNG Table A'!$G$23</f>
        <v>433484.85750000004</v>
      </c>
      <c r="N23" s="178">
        <f>'[10]SCG Table A'!$G$23</f>
        <v>314296.37</v>
      </c>
      <c r="O23" s="178">
        <f>SUM(L23:N23)</f>
        <v>1235727.84398411</v>
      </c>
      <c r="P23" s="178">
        <f>'ES CT Gas Table A'!L23</f>
        <v>733132.61648411001</v>
      </c>
      <c r="Q23" s="178">
        <f>'[11]CNG Table A'!J23</f>
        <v>475581.6991567784</v>
      </c>
      <c r="R23" s="178">
        <f>'[11]SCG Table A'!J23</f>
        <v>296670.67067276919</v>
      </c>
      <c r="S23" s="178">
        <f>SUM(P23:R23)</f>
        <v>1505384.9863136576</v>
      </c>
      <c r="T23" s="178">
        <f>'ES CT Gas Table A'!N23</f>
        <v>733132.61648411001</v>
      </c>
      <c r="U23" s="178">
        <f>'[11]CNG Table A'!M23</f>
        <v>484607.63636258419</v>
      </c>
      <c r="V23" s="178">
        <f>'[11]SCG Table A'!M23</f>
        <v>299601.97893783054</v>
      </c>
      <c r="W23" s="178">
        <f>SUM(T23:V23)</f>
        <v>1517342.2317845246</v>
      </c>
      <c r="X23" s="178">
        <f>'ES CT Gas Table A'!O23</f>
        <v>733132.61648411001</v>
      </c>
      <c r="Y23" s="178">
        <f>'[11]CNG Table A'!N23</f>
        <v>487010.16689513868</v>
      </c>
      <c r="Z23" s="178">
        <f>'[11]SCG Table A'!N23</f>
        <v>303296.91218223737</v>
      </c>
      <c r="AA23" s="178">
        <f>SUM(X23:Z23)</f>
        <v>1523439.6955614863</v>
      </c>
    </row>
    <row r="24" spans="1:239" ht="18.75" thickBot="1" x14ac:dyDescent="0.3">
      <c r="A24" s="12"/>
      <c r="B24" s="193"/>
      <c r="C24" s="184" t="s">
        <v>214</v>
      </c>
      <c r="D24" s="180">
        <f>SUM(D20:D23)</f>
        <v>7659291</v>
      </c>
      <c r="E24" s="180">
        <f>SUM(E20:E23)</f>
        <v>5496274</v>
      </c>
      <c r="F24" s="180">
        <f>SUM(F20:F23)</f>
        <v>4656480</v>
      </c>
      <c r="G24" s="180">
        <f>SUM(G20:G23)</f>
        <v>17812045</v>
      </c>
      <c r="H24" s="180">
        <f t="shared" ref="H24:W24" si="12">SUM(H20:H23)</f>
        <v>5165700</v>
      </c>
      <c r="I24" s="180">
        <f t="shared" si="12"/>
        <v>5042520</v>
      </c>
      <c r="J24" s="180">
        <f t="shared" si="12"/>
        <v>4334980</v>
      </c>
      <c r="K24" s="180">
        <f t="shared" si="12"/>
        <v>14543200</v>
      </c>
      <c r="L24" s="180">
        <f t="shared" si="12"/>
        <v>6202896.4821190303</v>
      </c>
      <c r="M24" s="180">
        <f t="shared" si="12"/>
        <v>3690488.7823557458</v>
      </c>
      <c r="N24" s="180">
        <f t="shared" si="12"/>
        <v>2707681.0126982504</v>
      </c>
      <c r="O24" s="180">
        <f t="shared" si="12"/>
        <v>12601066.277173027</v>
      </c>
      <c r="P24" s="180">
        <f t="shared" ref="P24" si="13">SUM(P20:P23)</f>
        <v>9427111.9721190296</v>
      </c>
      <c r="Q24" s="180">
        <f t="shared" ref="Q24" si="14">SUM(Q20:Q23)</f>
        <v>4212169.957028525</v>
      </c>
      <c r="R24" s="180">
        <f t="shared" ref="R24" si="15">SUM(R20:R23)</f>
        <v>3478440.7283582515</v>
      </c>
      <c r="S24" s="180">
        <f t="shared" ref="S24" si="16">SUM(S20:S23)</f>
        <v>17117722.657505807</v>
      </c>
      <c r="T24" s="180">
        <f t="shared" si="12"/>
        <v>9429312.9721190296</v>
      </c>
      <c r="U24" s="180">
        <f t="shared" si="12"/>
        <v>4324023.0400326578</v>
      </c>
      <c r="V24" s="180">
        <f t="shared" si="12"/>
        <v>3520860.259344765</v>
      </c>
      <c r="W24" s="180">
        <f t="shared" si="12"/>
        <v>17274196.271496452</v>
      </c>
      <c r="X24" s="180">
        <f t="shared" ref="X24:AA24" si="17">SUM(X20:X23)</f>
        <v>9429312.9721190296</v>
      </c>
      <c r="Y24" s="180">
        <f t="shared" si="17"/>
        <v>4345460.171017888</v>
      </c>
      <c r="Z24" s="180">
        <f t="shared" si="17"/>
        <v>3564282.3477678299</v>
      </c>
      <c r="AA24" s="180">
        <f t="shared" si="17"/>
        <v>17339055.490904748</v>
      </c>
      <c r="AB24" s="13"/>
      <c r="AC24" s="13"/>
      <c r="AD24" s="13"/>
      <c r="AE24" s="13"/>
      <c r="AF24" s="13"/>
      <c r="AG24" s="13"/>
      <c r="AH24" s="13"/>
      <c r="AI24" s="13"/>
      <c r="AJ24" s="13"/>
      <c r="AK24" s="13"/>
      <c r="AL24" s="13"/>
      <c r="AM24" s="13"/>
      <c r="AN24" s="13"/>
      <c r="AO24" s="13"/>
      <c r="AP24" s="13"/>
      <c r="AQ24" s="13"/>
      <c r="AR24" s="13"/>
      <c r="AS24" s="13"/>
      <c r="AT24" s="13"/>
      <c r="AU24" s="13"/>
      <c r="AV24" s="13"/>
      <c r="AW24" s="13"/>
      <c r="AX24" s="13"/>
      <c r="AY24" s="13"/>
      <c r="AZ24" s="13"/>
      <c r="BA24" s="13"/>
      <c r="BB24" s="13"/>
      <c r="BC24" s="13"/>
      <c r="BD24" s="13"/>
      <c r="BE24" s="13"/>
      <c r="BF24" s="13"/>
      <c r="BG24" s="13"/>
      <c r="BH24" s="13"/>
      <c r="BI24" s="13"/>
      <c r="BJ24" s="13"/>
      <c r="BK24" s="13"/>
      <c r="BL24" s="13"/>
      <c r="BM24" s="13"/>
      <c r="BN24" s="13"/>
      <c r="BO24" s="13"/>
      <c r="BP24" s="13"/>
      <c r="BQ24" s="13"/>
      <c r="BR24" s="13"/>
      <c r="BS24" s="13"/>
      <c r="BT24" s="13"/>
      <c r="BU24" s="13"/>
      <c r="BV24" s="13"/>
      <c r="BW24" s="13"/>
      <c r="BX24" s="13"/>
      <c r="BY24" s="13"/>
      <c r="BZ24" s="13"/>
      <c r="CA24" s="13"/>
      <c r="CB24" s="13"/>
      <c r="CC24" s="13"/>
      <c r="CD24" s="13"/>
      <c r="CE24" s="13"/>
      <c r="CF24" s="13"/>
      <c r="CG24" s="13"/>
      <c r="CH24" s="13"/>
      <c r="CI24" s="13"/>
      <c r="CJ24" s="13"/>
      <c r="CK24" s="13"/>
      <c r="CL24" s="13"/>
      <c r="CM24" s="13"/>
      <c r="CN24" s="13"/>
      <c r="CO24" s="13"/>
      <c r="CP24" s="13"/>
      <c r="CQ24" s="13"/>
      <c r="CR24" s="13"/>
      <c r="CS24" s="13"/>
      <c r="CT24" s="13"/>
      <c r="CU24" s="13"/>
      <c r="CV24" s="13"/>
      <c r="CW24" s="13"/>
      <c r="CX24" s="13"/>
      <c r="CY24" s="13"/>
      <c r="CZ24" s="13"/>
      <c r="DA24" s="13"/>
      <c r="DB24" s="13"/>
      <c r="DC24" s="13"/>
      <c r="DD24" s="13"/>
      <c r="DE24" s="13"/>
      <c r="DF24" s="13"/>
      <c r="DG24" s="13"/>
      <c r="DH24" s="13"/>
      <c r="DI24" s="13"/>
      <c r="DJ24" s="13"/>
      <c r="DK24" s="13"/>
      <c r="DL24" s="13"/>
      <c r="DM24" s="13"/>
      <c r="DN24" s="13"/>
      <c r="DO24" s="13"/>
      <c r="DP24" s="13"/>
      <c r="DQ24" s="13"/>
      <c r="DR24" s="13"/>
      <c r="DS24" s="13"/>
      <c r="DT24" s="13"/>
      <c r="DU24" s="13"/>
      <c r="DV24" s="13"/>
      <c r="DW24" s="13"/>
      <c r="DX24" s="13"/>
      <c r="DY24" s="13"/>
      <c r="DZ24" s="13"/>
      <c r="EA24" s="13"/>
      <c r="EB24" s="13"/>
      <c r="EC24" s="13"/>
      <c r="ED24" s="13"/>
      <c r="EE24" s="13"/>
      <c r="EF24" s="13"/>
      <c r="EG24" s="13"/>
      <c r="EH24" s="13"/>
      <c r="EI24" s="13"/>
      <c r="EJ24" s="13"/>
      <c r="EK24" s="13"/>
      <c r="EL24" s="13"/>
      <c r="EM24" s="13"/>
      <c r="EN24" s="13"/>
      <c r="EO24" s="13"/>
      <c r="EP24" s="13"/>
      <c r="EQ24" s="13"/>
      <c r="ER24" s="13"/>
      <c r="ES24" s="13"/>
      <c r="ET24" s="13"/>
      <c r="EU24" s="13"/>
      <c r="EV24" s="13"/>
      <c r="EW24" s="13"/>
      <c r="EX24" s="13"/>
      <c r="EY24" s="13"/>
      <c r="EZ24" s="13"/>
      <c r="FA24" s="13"/>
      <c r="FB24" s="13"/>
      <c r="FC24" s="13"/>
      <c r="FD24" s="13"/>
      <c r="FE24" s="13"/>
      <c r="FF24" s="13"/>
      <c r="FG24" s="13"/>
      <c r="FH24" s="13"/>
      <c r="FI24" s="13"/>
      <c r="FJ24" s="13"/>
      <c r="FK24" s="13"/>
      <c r="FL24" s="13"/>
      <c r="FM24" s="13"/>
      <c r="FN24" s="13"/>
      <c r="FO24" s="13"/>
      <c r="FP24" s="13"/>
      <c r="FQ24" s="13"/>
      <c r="FR24" s="13"/>
      <c r="FS24" s="13"/>
      <c r="FT24" s="13"/>
      <c r="FU24" s="13"/>
      <c r="FV24" s="13"/>
      <c r="FW24" s="13"/>
      <c r="FX24" s="13"/>
      <c r="FY24" s="13"/>
      <c r="FZ24" s="13"/>
      <c r="GA24" s="13"/>
      <c r="GB24" s="13"/>
      <c r="GC24" s="13"/>
      <c r="GD24" s="13"/>
      <c r="GE24" s="13"/>
      <c r="GF24" s="13"/>
      <c r="GG24" s="13"/>
      <c r="GH24" s="13"/>
      <c r="GI24" s="13"/>
      <c r="GJ24" s="13"/>
      <c r="GK24" s="13"/>
      <c r="GL24" s="13"/>
      <c r="GM24" s="13"/>
      <c r="GN24" s="13"/>
      <c r="GO24" s="13"/>
      <c r="GP24" s="13"/>
      <c r="GQ24" s="13"/>
      <c r="GR24" s="13"/>
      <c r="GS24" s="13"/>
      <c r="GT24" s="13"/>
      <c r="GU24" s="13"/>
      <c r="GV24" s="13"/>
      <c r="GW24" s="13"/>
      <c r="GX24" s="13"/>
      <c r="GY24" s="13"/>
      <c r="GZ24" s="13"/>
      <c r="HA24" s="13"/>
      <c r="HB24" s="13"/>
      <c r="HC24" s="13"/>
      <c r="HD24" s="13"/>
      <c r="HE24" s="13"/>
      <c r="HF24" s="13"/>
      <c r="HG24" s="13"/>
      <c r="HH24" s="13"/>
      <c r="HI24" s="13"/>
      <c r="HJ24" s="13"/>
      <c r="HK24" s="13"/>
      <c r="HL24" s="13"/>
      <c r="HM24" s="13"/>
      <c r="HN24" s="13"/>
      <c r="HO24" s="13"/>
      <c r="HP24" s="13"/>
      <c r="HQ24" s="13"/>
      <c r="HR24" s="13"/>
      <c r="HS24" s="13"/>
      <c r="HT24" s="13"/>
      <c r="HU24" s="13"/>
      <c r="HV24" s="13"/>
      <c r="HW24" s="13"/>
      <c r="HX24" s="13"/>
      <c r="HY24" s="13"/>
      <c r="HZ24" s="13"/>
      <c r="IA24" s="13"/>
      <c r="IB24" s="13"/>
      <c r="IC24" s="13"/>
      <c r="ID24" s="13"/>
      <c r="IE24" s="13"/>
    </row>
    <row r="25" spans="1:239" customFormat="1" ht="18.75" thickBot="1" x14ac:dyDescent="0.3">
      <c r="B25" s="1"/>
      <c r="C25" s="543" t="s">
        <v>303</v>
      </c>
      <c r="D25" s="544"/>
      <c r="E25" s="544"/>
      <c r="F25" s="544"/>
      <c r="G25" s="544"/>
      <c r="H25" s="544"/>
      <c r="I25" s="544"/>
      <c r="J25" s="544"/>
      <c r="K25" s="544"/>
      <c r="L25" s="544"/>
      <c r="M25" s="544"/>
      <c r="N25" s="544"/>
      <c r="O25" s="544"/>
      <c r="P25" s="544"/>
      <c r="Q25" s="544"/>
      <c r="R25" s="544"/>
      <c r="S25" s="544"/>
      <c r="T25" s="544"/>
      <c r="U25" s="544"/>
      <c r="V25" s="544"/>
      <c r="W25" s="544"/>
      <c r="X25" s="509"/>
      <c r="Y25" s="509"/>
      <c r="Z25" s="509"/>
      <c r="AA25" s="509"/>
    </row>
    <row r="26" spans="1:239" customFormat="1" ht="18.75" thickBot="1" x14ac:dyDescent="0.3">
      <c r="A26" s="466" t="s">
        <v>0</v>
      </c>
      <c r="B26" s="1"/>
      <c r="C26" s="349" t="s">
        <v>304</v>
      </c>
      <c r="D26" s="178">
        <v>0</v>
      </c>
      <c r="E26" s="178">
        <v>0</v>
      </c>
      <c r="F26" s="178">
        <v>0</v>
      </c>
      <c r="G26" s="178">
        <f>SUM(D26:F26)</f>
        <v>0</v>
      </c>
      <c r="H26" s="178">
        <v>0</v>
      </c>
      <c r="I26" s="178">
        <f>'[10]CNG Table A'!$E$26</f>
        <v>0</v>
      </c>
      <c r="J26" s="178">
        <f>'[10]SCG Table A'!$E$26</f>
        <v>0</v>
      </c>
      <c r="K26" s="178">
        <f>SUM(H26:J26)</f>
        <v>0</v>
      </c>
      <c r="L26" s="178">
        <v>0</v>
      </c>
      <c r="M26" s="178">
        <f>'[10]CNG Table A'!$G$26</f>
        <v>72927</v>
      </c>
      <c r="N26" s="178">
        <f>'[10]SCG Table A'!$G$26</f>
        <v>198351.5</v>
      </c>
      <c r="O26" s="178">
        <f>SUM(L26:N26)</f>
        <v>271278.5</v>
      </c>
      <c r="P26" s="178">
        <v>0</v>
      </c>
      <c r="Q26" s="178">
        <f>'[11]CNG Table A'!J26</f>
        <v>151002.5</v>
      </c>
      <c r="R26" s="178">
        <f>'[11]SCG Table A'!J26</f>
        <v>206534</v>
      </c>
      <c r="S26" s="178">
        <f>SUM(P26:R26)</f>
        <v>357536.5</v>
      </c>
      <c r="T26" s="178">
        <v>0</v>
      </c>
      <c r="U26" s="178">
        <f>'[11]CNG Table A'!M26</f>
        <v>156408.42499999999</v>
      </c>
      <c r="V26" s="178">
        <f>'[11]SCG Table A'!M26</f>
        <v>214716.5</v>
      </c>
      <c r="W26" s="178">
        <f>SUM(T26:V26)</f>
        <v>371124.92499999999</v>
      </c>
      <c r="X26" s="178">
        <v>0</v>
      </c>
      <c r="Y26" s="178">
        <f>'[11]CNG Table A'!N26</f>
        <v>156408.42499999999</v>
      </c>
      <c r="Z26" s="178">
        <f>'[11]SCG Table A'!N26</f>
        <v>214716.5</v>
      </c>
      <c r="AA26" s="178">
        <f>SUM(X26:Z26)</f>
        <v>371124.92499999999</v>
      </c>
    </row>
    <row r="27" spans="1:239" customFormat="1" ht="18.75" thickBot="1" x14ac:dyDescent="0.3">
      <c r="A27" s="467" t="s">
        <v>2</v>
      </c>
      <c r="B27" s="1"/>
      <c r="C27" s="349" t="s">
        <v>305</v>
      </c>
      <c r="D27" s="178">
        <v>0</v>
      </c>
      <c r="E27" s="178">
        <v>0</v>
      </c>
      <c r="F27" s="178">
        <v>0</v>
      </c>
      <c r="G27" s="178">
        <f>SUM(D27:F27)</f>
        <v>0</v>
      </c>
      <c r="H27" s="178">
        <v>0</v>
      </c>
      <c r="I27" s="178">
        <f>'[10]CNG Table A'!$E$27</f>
        <v>0</v>
      </c>
      <c r="J27" s="178">
        <f>'[10]SCG Table A'!$E$27</f>
        <v>0</v>
      </c>
      <c r="K27" s="178">
        <f>SUM(H27:J27)</f>
        <v>0</v>
      </c>
      <c r="L27" s="178">
        <v>0</v>
      </c>
      <c r="M27" s="178">
        <f>'[10]CNG Table A'!$G$27</f>
        <v>183176</v>
      </c>
      <c r="N27" s="178">
        <f>'[10]SCG Table A'!$G$27</f>
        <v>183176</v>
      </c>
      <c r="O27" s="178">
        <f>SUM(L27:N27)</f>
        <v>366352</v>
      </c>
      <c r="P27" s="178">
        <v>0</v>
      </c>
      <c r="Q27" s="178">
        <f>'[11]CNG Table A'!J27</f>
        <v>187384.76</v>
      </c>
      <c r="R27" s="178">
        <f>'[11]SCG Table A'!J27</f>
        <v>200259.76</v>
      </c>
      <c r="S27" s="178">
        <f>SUM(P27:R27)</f>
        <v>387644.52</v>
      </c>
      <c r="T27" s="178">
        <v>0</v>
      </c>
      <c r="U27" s="178">
        <f>'[11]CNG Table A'!M27</f>
        <v>191719.78279999999</v>
      </c>
      <c r="V27" s="178">
        <f>'[11]SCG Table A'!M27</f>
        <v>204981.03279999999</v>
      </c>
      <c r="W27" s="178">
        <f>SUM(T27:V27)</f>
        <v>396700.81559999997</v>
      </c>
      <c r="X27" s="178">
        <v>0</v>
      </c>
      <c r="Y27" s="178">
        <f>'[11]CNG Table A'!N27</f>
        <v>191719.78279999999</v>
      </c>
      <c r="Z27" s="178">
        <f>'[11]SCG Table A'!N27</f>
        <v>204981.03279999999</v>
      </c>
      <c r="AA27" s="178">
        <f>SUM(X27:Z27)</f>
        <v>396700.81559999997</v>
      </c>
    </row>
    <row r="28" spans="1:239" customFormat="1" ht="18.75" thickBot="1" x14ac:dyDescent="0.3">
      <c r="B28" s="1"/>
      <c r="C28" s="468" t="s">
        <v>306</v>
      </c>
      <c r="D28" s="180">
        <f>SUM(D26:D27)</f>
        <v>0</v>
      </c>
      <c r="E28" s="180">
        <f t="shared" ref="E28:L28" si="18">SUM(E26:E27)</f>
        <v>0</v>
      </c>
      <c r="F28" s="180">
        <f t="shared" si="18"/>
        <v>0</v>
      </c>
      <c r="G28" s="180">
        <f t="shared" si="18"/>
        <v>0</v>
      </c>
      <c r="H28" s="180">
        <f t="shared" si="18"/>
        <v>0</v>
      </c>
      <c r="I28" s="180">
        <f t="shared" si="18"/>
        <v>0</v>
      </c>
      <c r="J28" s="180">
        <f t="shared" si="18"/>
        <v>0</v>
      </c>
      <c r="K28" s="180">
        <f t="shared" si="18"/>
        <v>0</v>
      </c>
      <c r="L28" s="180">
        <f t="shared" si="18"/>
        <v>0</v>
      </c>
      <c r="M28" s="180">
        <f t="shared" ref="M28:W28" si="19">SUM(M26:M27)</f>
        <v>256103</v>
      </c>
      <c r="N28" s="180">
        <f t="shared" si="19"/>
        <v>381527.5</v>
      </c>
      <c r="O28" s="180">
        <f t="shared" si="19"/>
        <v>637630.5</v>
      </c>
      <c r="P28" s="180">
        <f t="shared" si="19"/>
        <v>0</v>
      </c>
      <c r="Q28" s="180">
        <f t="shared" si="19"/>
        <v>338387.26</v>
      </c>
      <c r="R28" s="180">
        <f t="shared" si="19"/>
        <v>406793.76</v>
      </c>
      <c r="S28" s="180">
        <f t="shared" si="19"/>
        <v>745181.02</v>
      </c>
      <c r="T28" s="180">
        <f t="shared" si="19"/>
        <v>0</v>
      </c>
      <c r="U28" s="180">
        <f t="shared" si="19"/>
        <v>348128.20779999997</v>
      </c>
      <c r="V28" s="180">
        <f t="shared" si="19"/>
        <v>419697.53279999999</v>
      </c>
      <c r="W28" s="180">
        <f t="shared" si="19"/>
        <v>767825.7405999999</v>
      </c>
      <c r="X28" s="180">
        <f t="shared" ref="X28:AA28" si="20">SUM(X26:X27)</f>
        <v>0</v>
      </c>
      <c r="Y28" s="180">
        <f t="shared" si="20"/>
        <v>348128.20779999997</v>
      </c>
      <c r="Z28" s="180">
        <f t="shared" si="20"/>
        <v>419697.53279999999</v>
      </c>
      <c r="AA28" s="180">
        <f t="shared" si="20"/>
        <v>767825.7405999999</v>
      </c>
    </row>
    <row r="29" spans="1:239" ht="18.75" thickBot="1" x14ac:dyDescent="0.3">
      <c r="A29" s="6"/>
      <c r="B29" s="193"/>
      <c r="C29" s="540" t="s">
        <v>200</v>
      </c>
      <c r="D29" s="540"/>
      <c r="E29" s="540"/>
      <c r="F29" s="540"/>
      <c r="G29" s="540"/>
      <c r="H29" s="540"/>
      <c r="I29" s="540"/>
      <c r="J29" s="540"/>
      <c r="K29" s="540"/>
      <c r="L29" s="540"/>
      <c r="M29" s="540"/>
      <c r="N29" s="540"/>
      <c r="O29" s="540"/>
      <c r="P29" s="540"/>
      <c r="Q29" s="540"/>
      <c r="R29" s="540"/>
      <c r="S29" s="540"/>
      <c r="T29" s="540"/>
      <c r="U29" s="540"/>
      <c r="V29" s="540"/>
      <c r="W29" s="540"/>
      <c r="X29" s="507"/>
      <c r="Y29" s="507"/>
      <c r="Z29" s="507"/>
      <c r="AA29" s="507"/>
    </row>
    <row r="30" spans="1:239" ht="18.75" thickBot="1" x14ac:dyDescent="0.3">
      <c r="A30" s="9" t="s">
        <v>49</v>
      </c>
      <c r="B30" s="193"/>
      <c r="C30" s="186" t="s">
        <v>285</v>
      </c>
      <c r="D30" s="178">
        <f>'ES CT Gas Table A'!D26</f>
        <v>33239.26</v>
      </c>
      <c r="E30" s="178">
        <f>'[9]CNG Table A'!$I$34</f>
        <v>31421.369999999995</v>
      </c>
      <c r="F30" s="178">
        <f>'[9]SCG Table A'!$I$34</f>
        <v>31404.33</v>
      </c>
      <c r="G30" s="178">
        <f>SUM(D30:F30)</f>
        <v>96064.959999999992</v>
      </c>
      <c r="H30" s="178">
        <f>'ES CT Gas Table A'!F26</f>
        <v>31386.33</v>
      </c>
      <c r="I30" s="178">
        <f>'[10]CNG Table A'!$E$30</f>
        <v>25240</v>
      </c>
      <c r="J30" s="178">
        <f>'[10]SCG Table A'!$E$30</f>
        <v>22829</v>
      </c>
      <c r="K30" s="178">
        <f>SUM(H30:J30)</f>
        <v>79455.33</v>
      </c>
      <c r="L30" s="178">
        <f>'ES CT Gas Table A'!I26</f>
        <v>76666.67</v>
      </c>
      <c r="M30" s="178">
        <f>'[10]CNG Table A'!$G$30</f>
        <v>76667.08128046451</v>
      </c>
      <c r="N30" s="178">
        <f>'[10]SCG Table A'!$G$30</f>
        <v>76667.17778046451</v>
      </c>
      <c r="O30" s="178">
        <f>SUM(L30:N30)</f>
        <v>230000.92906092905</v>
      </c>
      <c r="P30" s="178">
        <f>'ES CT Gas Table A'!L26</f>
        <v>76666.67</v>
      </c>
      <c r="Q30" s="178">
        <f>'[11]CNG Table A'!J30</f>
        <v>76667.08128046451</v>
      </c>
      <c r="R30" s="178">
        <f>'[11]SCG Table A'!J30</f>
        <v>76666.667780464501</v>
      </c>
      <c r="S30" s="178">
        <f>SUM(P30:R30)</f>
        <v>230000.41906092904</v>
      </c>
      <c r="T30" s="178">
        <f>'ES CT Gas Table A'!N26</f>
        <v>76666.67</v>
      </c>
      <c r="U30" s="178">
        <f>'[11]CNG Table A'!M30</f>
        <v>76667.08128046451</v>
      </c>
      <c r="V30" s="178">
        <f>'[11]SCG Table A'!M30</f>
        <v>76666.667780464501</v>
      </c>
      <c r="W30" s="178">
        <f>SUM(T30:V30)</f>
        <v>230000.41906092904</v>
      </c>
      <c r="X30" s="178">
        <f>'ES CT Gas Table A'!O26</f>
        <v>76666.67</v>
      </c>
      <c r="Y30" s="178">
        <f>'[11]CNG Table A'!N30</f>
        <v>76667.08128046451</v>
      </c>
      <c r="Z30" s="178">
        <f>'[11]SCG Table A'!N30</f>
        <v>76666.667780464501</v>
      </c>
      <c r="AA30" s="178">
        <f>SUM(X30:Z30)</f>
        <v>230000.41906092904</v>
      </c>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row>
    <row r="31" spans="1:239" ht="18.75" thickBot="1" x14ac:dyDescent="0.3">
      <c r="A31" s="9" t="s">
        <v>125</v>
      </c>
      <c r="B31" s="193"/>
      <c r="C31" s="186" t="s">
        <v>286</v>
      </c>
      <c r="D31" s="178">
        <f>'ES CT Gas Table A'!D27</f>
        <v>42041.46</v>
      </c>
      <c r="E31" s="178">
        <f>'[9]CNG Table A'!$I$35</f>
        <v>24596.659999999996</v>
      </c>
      <c r="F31" s="178">
        <f>'[9]SCG Table A'!$I$35</f>
        <v>25846.63</v>
      </c>
      <c r="G31" s="178">
        <f>SUM(D31:F31)</f>
        <v>92484.75</v>
      </c>
      <c r="H31" s="178">
        <f>'ES CT Gas Table A'!F27</f>
        <v>22485.49</v>
      </c>
      <c r="I31" s="178">
        <f>'[10]CNG Table A'!$E$31</f>
        <v>15434</v>
      </c>
      <c r="J31" s="178">
        <f>'[10]SCG Table A'!$E$31</f>
        <v>15434</v>
      </c>
      <c r="K31" s="178">
        <f>SUM(H31:J31)</f>
        <v>53353.490000000005</v>
      </c>
      <c r="L31" s="178">
        <f>'ES CT Gas Table A'!I27</f>
        <v>82666.67</v>
      </c>
      <c r="M31" s="178">
        <f>'[10]CNG Table A'!$G$31</f>
        <v>82666.66</v>
      </c>
      <c r="N31" s="178">
        <f>'[10]SCG Table A'!$G$31</f>
        <v>82666.66</v>
      </c>
      <c r="O31" s="178">
        <f>SUM(L31:N31)</f>
        <v>247999.99000000002</v>
      </c>
      <c r="P31" s="178">
        <f>'ES CT Gas Table A'!L27</f>
        <v>82666.67</v>
      </c>
      <c r="Q31" s="178">
        <f>'[11]CNG Table A'!J31</f>
        <v>82666.66</v>
      </c>
      <c r="R31" s="178">
        <f>'[11]SCG Table A'!J31</f>
        <v>82666.66</v>
      </c>
      <c r="S31" s="178">
        <f>SUM(P31:R31)</f>
        <v>247999.99000000002</v>
      </c>
      <c r="T31" s="178">
        <f>'ES CT Gas Table A'!N27</f>
        <v>82666.67</v>
      </c>
      <c r="U31" s="178">
        <f>'[11]CNG Table A'!M31</f>
        <v>82666.66</v>
      </c>
      <c r="V31" s="178">
        <f>'[11]SCG Table A'!M31</f>
        <v>82666.66</v>
      </c>
      <c r="W31" s="178">
        <f>SUM(T31:V31)</f>
        <v>247999.99000000002</v>
      </c>
      <c r="X31" s="178">
        <f>'ES CT Gas Table A'!O27</f>
        <v>82666.67</v>
      </c>
      <c r="Y31" s="178">
        <f>'[11]CNG Table A'!N31</f>
        <v>82666.66</v>
      </c>
      <c r="Z31" s="178">
        <f>'[11]SCG Table A'!N31</f>
        <v>82666.66</v>
      </c>
      <c r="AA31" s="178">
        <f>SUM(X31:Z31)</f>
        <v>247999.99000000002</v>
      </c>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row>
    <row r="32" spans="1:239" ht="18.75" thickBot="1" x14ac:dyDescent="0.3">
      <c r="A32" s="9" t="s">
        <v>125</v>
      </c>
      <c r="B32" s="193"/>
      <c r="C32" s="186" t="s">
        <v>287</v>
      </c>
      <c r="D32" s="178">
        <f>'ES CT Gas Table A'!D28</f>
        <v>34537.370000000003</v>
      </c>
      <c r="E32" s="178">
        <f>'[9]CNG Table A'!$I$32</f>
        <v>64577.56</v>
      </c>
      <c r="F32" s="178">
        <f>'[9]SCG Table A'!$I$32</f>
        <v>64541.79</v>
      </c>
      <c r="G32" s="178">
        <f>SUM(D32:F32)</f>
        <v>163656.72</v>
      </c>
      <c r="H32" s="178">
        <f>'ES CT Gas Table A'!F28</f>
        <v>36300</v>
      </c>
      <c r="I32" s="178">
        <f>'[10]CNG Table A'!$E$32</f>
        <v>17227</v>
      </c>
      <c r="J32" s="178">
        <f>'[10]SCG Table A'!$E$32</f>
        <v>17227</v>
      </c>
      <c r="K32" s="178">
        <f>SUM(H32:J32)</f>
        <v>70754</v>
      </c>
      <c r="L32" s="178">
        <f>'ES CT Gas Table A'!I28</f>
        <v>80000</v>
      </c>
      <c r="M32" s="178">
        <f>'[10]CNG Table A'!$G$32</f>
        <v>79999.78509823716</v>
      </c>
      <c r="N32" s="178">
        <f>'[10]SCG Table A'!$G$32</f>
        <v>80000.011098237155</v>
      </c>
      <c r="O32" s="178">
        <f>SUM(L32:N32)</f>
        <v>239999.79619647432</v>
      </c>
      <c r="P32" s="178">
        <f>'ES CT Gas Table A'!L28</f>
        <v>80000</v>
      </c>
      <c r="Q32" s="178">
        <f>'[11]CNG Table A'!J32</f>
        <v>79999.78509823716</v>
      </c>
      <c r="R32" s="178">
        <f>'[11]SCG Table A'!J32</f>
        <v>79999.991098237166</v>
      </c>
      <c r="S32" s="178">
        <f>SUM(P32:R32)</f>
        <v>239999.77619647433</v>
      </c>
      <c r="T32" s="178">
        <f>'ES CT Gas Table A'!N28</f>
        <v>80000</v>
      </c>
      <c r="U32" s="178">
        <f>'[11]CNG Table A'!M32</f>
        <v>79999.78509823716</v>
      </c>
      <c r="V32" s="178">
        <f>'[11]SCG Table A'!M32</f>
        <v>79999.991098237166</v>
      </c>
      <c r="W32" s="178">
        <f>SUM(T32:V32)</f>
        <v>239999.77619647433</v>
      </c>
      <c r="X32" s="178">
        <f>'ES CT Gas Table A'!O28</f>
        <v>80000</v>
      </c>
      <c r="Y32" s="178">
        <f>'[11]CNG Table A'!N32</f>
        <v>79999.78509823716</v>
      </c>
      <c r="Z32" s="178">
        <f>'[11]SCG Table A'!N32</f>
        <v>79999.991098237166</v>
      </c>
      <c r="AA32" s="178">
        <f>SUM(X32:Z32)</f>
        <v>239999.77619647433</v>
      </c>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row>
    <row r="33" spans="1:239" ht="18.75" thickBot="1" x14ac:dyDescent="0.3">
      <c r="A33" s="9" t="s">
        <v>49</v>
      </c>
      <c r="B33" s="193"/>
      <c r="C33" s="186" t="s">
        <v>301</v>
      </c>
      <c r="D33" s="178">
        <f>'ES CT Gas Table A'!D29</f>
        <v>197010.46</v>
      </c>
      <c r="E33" s="178">
        <f>'[9]CNG Table A'!$I$33</f>
        <v>0</v>
      </c>
      <c r="F33" s="178">
        <f>'[9]SCG Table A'!$I$33</f>
        <v>0</v>
      </c>
      <c r="G33" s="178">
        <f>SUM(D33:F33)</f>
        <v>197010.46</v>
      </c>
      <c r="H33" s="178">
        <f>'ES CT Gas Table A'!F29</f>
        <v>137851</v>
      </c>
      <c r="I33" s="178">
        <f>'[10]CNG Table A'!$E$33</f>
        <v>0</v>
      </c>
      <c r="J33" s="178">
        <f>'[10]SCG Table A'!$E$33</f>
        <v>0</v>
      </c>
      <c r="K33" s="178">
        <f>SUM(H33:J33)</f>
        <v>137851</v>
      </c>
      <c r="L33" s="178">
        <f>'ES CT Gas Table A'!I29</f>
        <v>70000</v>
      </c>
      <c r="M33" s="178">
        <f>'[10]CNG Table A'!$G$33</f>
        <v>50000.1191625832</v>
      </c>
      <c r="N33" s="178">
        <f>'[10]SCG Table A'!$G$33</f>
        <v>49999.721162583199</v>
      </c>
      <c r="O33" s="178">
        <f>SUM(L33:N33)</f>
        <v>169999.84032516641</v>
      </c>
      <c r="P33" s="178">
        <f>'ES CT Gas Table A'!L29</f>
        <v>70000</v>
      </c>
      <c r="Q33" s="178">
        <f>'[11]CNG Table A'!J33</f>
        <v>50000.1191625832</v>
      </c>
      <c r="R33" s="178">
        <f>'[11]SCG Table A'!J33</f>
        <v>50000.001162583198</v>
      </c>
      <c r="S33" s="178">
        <f>SUM(P33:R33)</f>
        <v>170000.12032516638</v>
      </c>
      <c r="T33" s="178">
        <f>'ES CT Gas Table A'!N29</f>
        <v>70000</v>
      </c>
      <c r="U33" s="178">
        <f>'[11]CNG Table A'!M33</f>
        <v>50000.1191625832</v>
      </c>
      <c r="V33" s="178">
        <f>'[11]SCG Table A'!M33</f>
        <v>50000.001162583198</v>
      </c>
      <c r="W33" s="178">
        <f>SUM(T33:V33)</f>
        <v>170000.12032516638</v>
      </c>
      <c r="X33" s="178">
        <f>'ES CT Gas Table A'!O29</f>
        <v>70000</v>
      </c>
      <c r="Y33" s="178">
        <f>'[11]CNG Table A'!N33</f>
        <v>50000.1191625832</v>
      </c>
      <c r="Z33" s="178">
        <f>'[11]SCG Table A'!N33</f>
        <v>50000.001162583198</v>
      </c>
      <c r="AA33" s="178">
        <f>SUM(X33:Z33)</f>
        <v>170000.12032516638</v>
      </c>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row>
    <row r="34" spans="1:239" ht="18.75" thickBot="1" x14ac:dyDescent="0.3">
      <c r="A34" s="6"/>
      <c r="B34" s="193"/>
      <c r="C34" s="184" t="s">
        <v>215</v>
      </c>
      <c r="D34" s="180">
        <f t="shared" ref="D34:W34" si="21">SUM(D30:D33)</f>
        <v>306828.55</v>
      </c>
      <c r="E34" s="180">
        <f t="shared" si="21"/>
        <v>120595.59</v>
      </c>
      <c r="F34" s="180">
        <f t="shared" si="21"/>
        <v>121792.75</v>
      </c>
      <c r="G34" s="180">
        <f t="shared" si="21"/>
        <v>549216.89</v>
      </c>
      <c r="H34" s="180">
        <f t="shared" si="21"/>
        <v>228022.82</v>
      </c>
      <c r="I34" s="180">
        <f t="shared" si="21"/>
        <v>57901</v>
      </c>
      <c r="J34" s="180">
        <f t="shared" si="21"/>
        <v>55490</v>
      </c>
      <c r="K34" s="180">
        <f t="shared" si="21"/>
        <v>341413.82</v>
      </c>
      <c r="L34" s="180">
        <f t="shared" si="21"/>
        <v>309333.33999999997</v>
      </c>
      <c r="M34" s="180">
        <f t="shared" si="21"/>
        <v>289333.64554128487</v>
      </c>
      <c r="N34" s="180">
        <f t="shared" si="21"/>
        <v>289333.57004128484</v>
      </c>
      <c r="O34" s="180">
        <f t="shared" si="21"/>
        <v>888000.55558256991</v>
      </c>
      <c r="P34" s="180">
        <f t="shared" ref="P34:S34" si="22">SUM(P30:P33)</f>
        <v>309333.33999999997</v>
      </c>
      <c r="Q34" s="180">
        <f t="shared" si="22"/>
        <v>289333.64554128487</v>
      </c>
      <c r="R34" s="180">
        <f t="shared" si="22"/>
        <v>289333.32004128484</v>
      </c>
      <c r="S34" s="180">
        <f t="shared" si="22"/>
        <v>888000.3055825698</v>
      </c>
      <c r="T34" s="180">
        <f t="shared" si="21"/>
        <v>309333.33999999997</v>
      </c>
      <c r="U34" s="180">
        <f t="shared" si="21"/>
        <v>289333.64554128487</v>
      </c>
      <c r="V34" s="180">
        <f t="shared" si="21"/>
        <v>289333.32004128484</v>
      </c>
      <c r="W34" s="180">
        <f t="shared" si="21"/>
        <v>888000.3055825698</v>
      </c>
      <c r="X34" s="180">
        <f t="shared" ref="X34:AA34" si="23">SUM(X30:X33)</f>
        <v>309333.33999999997</v>
      </c>
      <c r="Y34" s="180">
        <f t="shared" si="23"/>
        <v>289333.64554128487</v>
      </c>
      <c r="Z34" s="180">
        <f t="shared" si="23"/>
        <v>289333.32004128484</v>
      </c>
      <c r="AA34" s="180">
        <f t="shared" si="23"/>
        <v>888000.3055825698</v>
      </c>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row>
    <row r="35" spans="1:239" ht="18.75" thickBot="1" x14ac:dyDescent="0.3">
      <c r="A35" s="6"/>
      <c r="B35" s="193"/>
      <c r="C35" s="540" t="s">
        <v>3</v>
      </c>
      <c r="D35" s="540"/>
      <c r="E35" s="540"/>
      <c r="F35" s="540"/>
      <c r="G35" s="540"/>
      <c r="H35" s="540"/>
      <c r="I35" s="540"/>
      <c r="J35" s="540"/>
      <c r="K35" s="540"/>
      <c r="L35" s="540"/>
      <c r="M35" s="540"/>
      <c r="N35" s="540"/>
      <c r="O35" s="540"/>
      <c r="P35" s="540"/>
      <c r="Q35" s="540"/>
      <c r="R35" s="540"/>
      <c r="S35" s="540"/>
      <c r="T35" s="540"/>
      <c r="U35" s="540"/>
      <c r="V35" s="540"/>
      <c r="W35" s="540"/>
      <c r="X35" s="507"/>
      <c r="Y35" s="507"/>
      <c r="Z35" s="507"/>
      <c r="AA35" s="507"/>
    </row>
    <row r="36" spans="1:239" ht="36" x14ac:dyDescent="0.25">
      <c r="A36" s="14" t="s">
        <v>0</v>
      </c>
      <c r="B36" s="193"/>
      <c r="C36" s="195" t="s">
        <v>220</v>
      </c>
      <c r="D36" s="162">
        <f>'ES CT Gas Table A'!D32</f>
        <v>99172</v>
      </c>
      <c r="E36" s="157">
        <f>'[9]CNG Table A'!$I$39</f>
        <v>52478.13</v>
      </c>
      <c r="F36" s="157">
        <f>'[9]SCG Table A'!$I$39</f>
        <v>61748.79</v>
      </c>
      <c r="G36" s="185">
        <f>SUM(D36:F36)</f>
        <v>213398.92</v>
      </c>
      <c r="H36" s="162">
        <f>'ES CT Gas Table A'!F32</f>
        <v>77705</v>
      </c>
      <c r="I36" s="157">
        <f>'[10]CNG Table A'!$E$36</f>
        <v>0</v>
      </c>
      <c r="J36" s="157">
        <f>'[10]SCG Table A'!$E$36</f>
        <v>0</v>
      </c>
      <c r="K36" s="185">
        <f>SUM(H36:J36)</f>
        <v>77705</v>
      </c>
      <c r="L36" s="162">
        <f>'ES CT Gas Table A'!I32</f>
        <v>84522.893307485996</v>
      </c>
      <c r="M36" s="157">
        <f>'[10]CNG Table A'!$G$36</f>
        <v>86292</v>
      </c>
      <c r="N36" s="157">
        <f>'[10]SCG Table A'!$G$36</f>
        <v>86292</v>
      </c>
      <c r="O36" s="185">
        <f>SUM(L36:N36)</f>
        <v>257106.893307486</v>
      </c>
      <c r="P36" s="162">
        <f>'ES CT Gas Table A'!L32</f>
        <v>84522.893307485996</v>
      </c>
      <c r="Q36" s="157">
        <f>'[11]CNG Table A'!J36</f>
        <v>86292</v>
      </c>
      <c r="R36" s="157">
        <f>'[11]SCG Table A'!J36</f>
        <v>86292</v>
      </c>
      <c r="S36" s="185">
        <f>SUM(P36:R36)</f>
        <v>257106.893307486</v>
      </c>
      <c r="T36" s="162">
        <f>'ES CT Gas Table A'!N32</f>
        <v>84522.893307485952</v>
      </c>
      <c r="U36" s="157">
        <f>'[11]CNG Table A'!M36</f>
        <v>86292</v>
      </c>
      <c r="V36" s="157">
        <f>'[11]SCG Table A'!M36</f>
        <v>86292</v>
      </c>
      <c r="W36" s="185">
        <f>SUM(T36:V36)</f>
        <v>257106.89330748597</v>
      </c>
      <c r="X36" s="162">
        <f>'ES CT Gas Table A'!O32</f>
        <v>84522.893307485952</v>
      </c>
      <c r="Y36" s="157">
        <f>'[11]CNG Table A'!N36</f>
        <v>86292</v>
      </c>
      <c r="Z36" s="157">
        <f>'[11]SCG Table A'!N36</f>
        <v>86292</v>
      </c>
      <c r="AA36" s="185">
        <f>SUM(X36:Z36)</f>
        <v>257106.89330748597</v>
      </c>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row>
    <row r="37" spans="1:239" ht="18" x14ac:dyDescent="0.25">
      <c r="A37" s="9" t="s">
        <v>2</v>
      </c>
      <c r="B37" s="193"/>
      <c r="C37" s="158" t="s">
        <v>121</v>
      </c>
      <c r="D37" s="159">
        <f>'ES CT Gas Table A'!D33</f>
        <v>0</v>
      </c>
      <c r="E37" s="155">
        <f>'[9]CNG Table A'!$I$40</f>
        <v>0</v>
      </c>
      <c r="F37" s="155">
        <f>'[9]SCG Table A'!$I$40</f>
        <v>0</v>
      </c>
      <c r="G37" s="156">
        <f>SUM(D37:F37)</f>
        <v>0</v>
      </c>
      <c r="H37" s="159">
        <f>'ES CT Gas Table A'!F33</f>
        <v>2427</v>
      </c>
      <c r="I37" s="155">
        <f>'[10]CNG Table A'!$E$37</f>
        <v>0</v>
      </c>
      <c r="J37" s="155">
        <f>'[10]SCG Table A'!$E$37</f>
        <v>0</v>
      </c>
      <c r="K37" s="156">
        <f>SUM(H37:J37)</f>
        <v>2427</v>
      </c>
      <c r="L37" s="159">
        <f>'ES CT Gas Table A'!I33</f>
        <v>93905.470565267999</v>
      </c>
      <c r="M37" s="155">
        <f>'[10]CNG Table A'!$G$37</f>
        <v>20000</v>
      </c>
      <c r="N37" s="155">
        <f>'[10]SCG Table A'!$G$37</f>
        <v>75000</v>
      </c>
      <c r="O37" s="156">
        <f>SUM(L37:N37)</f>
        <v>188905.47056526801</v>
      </c>
      <c r="P37" s="162">
        <f>'ES CT Gas Table A'!L33</f>
        <v>93905.470565267999</v>
      </c>
      <c r="Q37" s="157">
        <f>'[11]CNG Table A'!J37</f>
        <v>20000</v>
      </c>
      <c r="R37" s="157">
        <f>'[11]SCG Table A'!J37</f>
        <v>75000</v>
      </c>
      <c r="S37" s="156">
        <f>SUM(P37:R37)</f>
        <v>188905.47056526801</v>
      </c>
      <c r="T37" s="162">
        <f>'ES CT Gas Table A'!N33</f>
        <v>93905.470565267999</v>
      </c>
      <c r="U37" s="157">
        <f>'[11]CNG Table A'!M37</f>
        <v>20000</v>
      </c>
      <c r="V37" s="157">
        <f>'[11]SCG Table A'!M37</f>
        <v>75000</v>
      </c>
      <c r="W37" s="156">
        <f>SUM(T37:V37)</f>
        <v>188905.47056526801</v>
      </c>
      <c r="X37" s="162">
        <f>'ES CT Gas Table A'!O33</f>
        <v>93905.470565267999</v>
      </c>
      <c r="Y37" s="157">
        <f>'[11]CNG Table A'!N37</f>
        <v>20000</v>
      </c>
      <c r="Z37" s="157">
        <f>'[11]SCG Table A'!N37</f>
        <v>75000</v>
      </c>
      <c r="AA37" s="156">
        <f>SUM(X37:Z37)</f>
        <v>188905.47056526801</v>
      </c>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row>
    <row r="38" spans="1:239" ht="18.75" thickBot="1" x14ac:dyDescent="0.3">
      <c r="A38" s="12" t="s">
        <v>4</v>
      </c>
      <c r="B38" s="193"/>
      <c r="C38" s="158" t="s">
        <v>43</v>
      </c>
      <c r="D38" s="162">
        <f>'ES CT Gas Table A'!D34</f>
        <v>15680</v>
      </c>
      <c r="E38" s="160">
        <f>'[9]CNG Table A'!$I$41</f>
        <v>20163.810000000001</v>
      </c>
      <c r="F38" s="160">
        <f>'[9]SCG Table A'!$I$41</f>
        <v>20162.790000000005</v>
      </c>
      <c r="G38" s="161">
        <f>SUM(D38:F38)</f>
        <v>56006.600000000006</v>
      </c>
      <c r="H38" s="154">
        <f>'ES CT Gas Table A'!F34</f>
        <v>4795</v>
      </c>
      <c r="I38" s="160">
        <f>'[10]CNG Table A'!$E$38</f>
        <v>11573</v>
      </c>
      <c r="J38" s="160">
        <f>'[10]SCG Table A'!$E$38</f>
        <v>84073</v>
      </c>
      <c r="K38" s="161">
        <f>SUM(H38:J38)</f>
        <v>100441</v>
      </c>
      <c r="L38" s="154">
        <f>'ES CT Gas Table A'!I34</f>
        <v>50000.100660389297</v>
      </c>
      <c r="M38" s="160">
        <f>'[10]CNG Table A'!$G$38</f>
        <v>50000</v>
      </c>
      <c r="N38" s="160">
        <f>'[10]SCG Table A'!$G$38</f>
        <v>50000</v>
      </c>
      <c r="O38" s="161">
        <f>SUM(L38:N38)</f>
        <v>150000.10066038929</v>
      </c>
      <c r="P38" s="162">
        <f>'ES CT Gas Table A'!L34</f>
        <v>50000.100660389297</v>
      </c>
      <c r="Q38" s="157">
        <f>'[11]CNG Table A'!J38</f>
        <v>50000</v>
      </c>
      <c r="R38" s="157">
        <f>'[11]SCG Table A'!J38</f>
        <v>50000</v>
      </c>
      <c r="S38" s="161">
        <f>SUM(P38:R38)</f>
        <v>150000.10066038929</v>
      </c>
      <c r="T38" s="162">
        <f>'ES CT Gas Table A'!N34</f>
        <v>50000.100660389304</v>
      </c>
      <c r="U38" s="157">
        <f>'[11]CNG Table A'!M38</f>
        <v>50000</v>
      </c>
      <c r="V38" s="157">
        <f>'[11]SCG Table A'!M38</f>
        <v>50000</v>
      </c>
      <c r="W38" s="161">
        <f>SUM(T38:V38)</f>
        <v>150000.10066038929</v>
      </c>
      <c r="X38" s="162">
        <f>'ES CT Gas Table A'!O34</f>
        <v>50000.100660389304</v>
      </c>
      <c r="Y38" s="157">
        <f>'[11]CNG Table A'!N38</f>
        <v>50000</v>
      </c>
      <c r="Z38" s="157">
        <f>'[11]SCG Table A'!N38</f>
        <v>50000</v>
      </c>
      <c r="AA38" s="161">
        <f>SUM(X38:Z38)</f>
        <v>150000.10066038929</v>
      </c>
      <c r="AB38" s="13"/>
      <c r="AC38" s="13"/>
      <c r="AD38" s="13"/>
      <c r="AE38" s="13"/>
      <c r="AF38" s="13"/>
      <c r="AG38" s="13"/>
      <c r="AH38" s="13"/>
      <c r="AI38" s="13"/>
      <c r="AJ38" s="13"/>
      <c r="AK38" s="13"/>
      <c r="AL38" s="13"/>
      <c r="AM38" s="13"/>
      <c r="AN38" s="13"/>
      <c r="AO38" s="13"/>
      <c r="AP38" s="13"/>
      <c r="AQ38" s="13"/>
      <c r="AR38" s="13"/>
      <c r="AS38" s="13"/>
      <c r="AT38" s="13"/>
      <c r="AU38" s="13"/>
      <c r="AV38" s="13"/>
      <c r="AW38" s="13"/>
      <c r="AX38" s="13"/>
      <c r="AY38" s="13"/>
      <c r="AZ38" s="13"/>
      <c r="BA38" s="13"/>
      <c r="BB38" s="13"/>
      <c r="BC38" s="13"/>
      <c r="BD38" s="13"/>
      <c r="BE38" s="13"/>
      <c r="BF38" s="13"/>
      <c r="BG38" s="13"/>
      <c r="BH38" s="13"/>
      <c r="BI38" s="13"/>
      <c r="BJ38" s="13"/>
      <c r="BK38" s="13"/>
      <c r="BL38" s="13"/>
      <c r="BM38" s="13"/>
      <c r="BN38" s="13"/>
      <c r="BO38" s="13"/>
      <c r="BP38" s="13"/>
      <c r="BQ38" s="13"/>
      <c r="BR38" s="13"/>
      <c r="BS38" s="13"/>
      <c r="BT38" s="13"/>
      <c r="BU38" s="13"/>
      <c r="BV38" s="13"/>
      <c r="BW38" s="13"/>
      <c r="BX38" s="13"/>
      <c r="BY38" s="13"/>
      <c r="BZ38" s="13"/>
      <c r="CA38" s="13"/>
      <c r="CB38" s="13"/>
      <c r="CC38" s="13"/>
      <c r="CD38" s="13"/>
      <c r="CE38" s="13"/>
      <c r="CF38" s="13"/>
      <c r="CG38" s="13"/>
      <c r="CH38" s="13"/>
      <c r="CI38" s="13"/>
      <c r="CJ38" s="13"/>
      <c r="CK38" s="13"/>
      <c r="CL38" s="13"/>
      <c r="CM38" s="13"/>
      <c r="CN38" s="13"/>
      <c r="CO38" s="13"/>
      <c r="CP38" s="13"/>
      <c r="CQ38" s="13"/>
      <c r="CR38" s="13"/>
      <c r="CS38" s="13"/>
      <c r="CT38" s="13"/>
      <c r="CU38" s="13"/>
      <c r="CV38" s="13"/>
      <c r="CW38" s="13"/>
      <c r="CX38" s="13"/>
      <c r="CY38" s="13"/>
      <c r="CZ38" s="13"/>
      <c r="DA38" s="13"/>
      <c r="DB38" s="13"/>
      <c r="DC38" s="13"/>
      <c r="DD38" s="13"/>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13"/>
      <c r="GQ38" s="13"/>
      <c r="GR38" s="13"/>
      <c r="GS38" s="13"/>
      <c r="GT38" s="13"/>
      <c r="GU38" s="13"/>
      <c r="GV38" s="13"/>
      <c r="GW38" s="13"/>
      <c r="GX38" s="13"/>
      <c r="GY38" s="13"/>
      <c r="GZ38" s="13"/>
      <c r="HA38" s="13"/>
      <c r="HB38" s="13"/>
      <c r="HC38" s="13"/>
      <c r="HD38" s="13"/>
      <c r="HE38" s="13"/>
      <c r="HF38" s="13"/>
      <c r="HG38" s="13"/>
      <c r="HH38" s="13"/>
      <c r="HI38" s="13"/>
      <c r="HJ38" s="13"/>
      <c r="HK38" s="13"/>
      <c r="HL38" s="13"/>
      <c r="HM38" s="13"/>
      <c r="HN38" s="13"/>
      <c r="HO38" s="13"/>
      <c r="HP38" s="13"/>
      <c r="HQ38" s="13"/>
      <c r="HR38" s="13"/>
      <c r="HS38" s="13"/>
      <c r="HT38" s="13"/>
      <c r="HU38" s="13"/>
      <c r="HV38" s="13"/>
      <c r="HW38" s="13"/>
      <c r="HX38" s="13"/>
      <c r="HY38" s="13"/>
      <c r="HZ38" s="13"/>
      <c r="IA38" s="13"/>
      <c r="IB38" s="13"/>
      <c r="IC38" s="13"/>
      <c r="ID38" s="13"/>
      <c r="IE38" s="13"/>
    </row>
    <row r="39" spans="1:239" ht="18.75" thickBot="1" x14ac:dyDescent="0.3">
      <c r="A39" s="8"/>
      <c r="B39" s="193"/>
      <c r="C39" s="184" t="s">
        <v>216</v>
      </c>
      <c r="D39" s="187">
        <f t="shared" ref="D39:W39" si="24">SUM(D36:D38)</f>
        <v>114852</v>
      </c>
      <c r="E39" s="187">
        <f t="shared" si="24"/>
        <v>72641.94</v>
      </c>
      <c r="F39" s="187">
        <f t="shared" si="24"/>
        <v>81911.58</v>
      </c>
      <c r="G39" s="187">
        <f t="shared" si="24"/>
        <v>269405.52</v>
      </c>
      <c r="H39" s="187">
        <f t="shared" si="24"/>
        <v>84927</v>
      </c>
      <c r="I39" s="187">
        <f t="shared" si="24"/>
        <v>11573</v>
      </c>
      <c r="J39" s="187">
        <f t="shared" si="24"/>
        <v>84073</v>
      </c>
      <c r="K39" s="187">
        <f t="shared" si="24"/>
        <v>180573</v>
      </c>
      <c r="L39" s="187">
        <f t="shared" si="24"/>
        <v>228428.46453314327</v>
      </c>
      <c r="M39" s="187">
        <f t="shared" si="24"/>
        <v>156292</v>
      </c>
      <c r="N39" s="187">
        <f t="shared" si="24"/>
        <v>211292</v>
      </c>
      <c r="O39" s="187">
        <f t="shared" si="24"/>
        <v>596012.46453314333</v>
      </c>
      <c r="P39" s="187">
        <f t="shared" ref="P39:S39" si="25">SUM(P36:P38)</f>
        <v>228428.46453314327</v>
      </c>
      <c r="Q39" s="187">
        <f t="shared" si="25"/>
        <v>156292</v>
      </c>
      <c r="R39" s="187">
        <f t="shared" si="25"/>
        <v>211292</v>
      </c>
      <c r="S39" s="187">
        <f t="shared" si="25"/>
        <v>596012.46453314333</v>
      </c>
      <c r="T39" s="187">
        <f t="shared" si="24"/>
        <v>228428.46453314327</v>
      </c>
      <c r="U39" s="187">
        <f t="shared" si="24"/>
        <v>156292</v>
      </c>
      <c r="V39" s="187">
        <f t="shared" si="24"/>
        <v>211292</v>
      </c>
      <c r="W39" s="187">
        <f t="shared" si="24"/>
        <v>596012.46453314321</v>
      </c>
      <c r="X39" s="187">
        <f t="shared" ref="X39:AA39" si="26">SUM(X36:X38)</f>
        <v>228428.46453314327</v>
      </c>
      <c r="Y39" s="187">
        <f t="shared" si="26"/>
        <v>156292</v>
      </c>
      <c r="Z39" s="187">
        <f t="shared" si="26"/>
        <v>211292</v>
      </c>
      <c r="AA39" s="187">
        <f t="shared" si="26"/>
        <v>596012.46453314321</v>
      </c>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1"/>
      <c r="BF39" s="11"/>
      <c r="BG39" s="11"/>
      <c r="BH39" s="11"/>
      <c r="BI39" s="11"/>
      <c r="BJ39" s="11"/>
      <c r="BK39" s="11"/>
      <c r="BL39" s="11"/>
      <c r="BM39" s="11"/>
      <c r="BN39" s="11"/>
      <c r="BO39" s="11"/>
      <c r="BP39" s="11"/>
      <c r="BQ39" s="11"/>
      <c r="BR39" s="11"/>
      <c r="BS39" s="11"/>
      <c r="BT39" s="11"/>
      <c r="BU39" s="11"/>
      <c r="BV39" s="11"/>
      <c r="BW39" s="11"/>
      <c r="BX39" s="11"/>
      <c r="BY39" s="11"/>
      <c r="BZ39" s="11"/>
      <c r="CA39" s="11"/>
      <c r="CB39" s="11"/>
      <c r="CC39" s="11"/>
      <c r="CD39" s="11"/>
      <c r="CE39" s="11"/>
      <c r="CF39" s="11"/>
      <c r="CG39" s="11"/>
      <c r="CH39" s="11"/>
      <c r="CI39" s="11"/>
      <c r="CJ39" s="11"/>
      <c r="CK39" s="11"/>
      <c r="CL39" s="11"/>
      <c r="CM39" s="11"/>
      <c r="CN39" s="11"/>
      <c r="CO39" s="11"/>
      <c r="CP39" s="11"/>
      <c r="CQ39" s="11"/>
      <c r="CR39" s="11"/>
      <c r="CS39" s="11"/>
      <c r="CT39" s="11"/>
      <c r="CU39" s="11"/>
      <c r="CV39" s="11"/>
      <c r="CW39" s="11"/>
      <c r="CX39" s="11"/>
      <c r="CY39" s="11"/>
      <c r="CZ39" s="11"/>
      <c r="DA39" s="11"/>
      <c r="DB39" s="11"/>
      <c r="DC39" s="11"/>
      <c r="DD39" s="11"/>
      <c r="DE39" s="11"/>
      <c r="DF39" s="11"/>
      <c r="DG39" s="11"/>
      <c r="DH39" s="11"/>
      <c r="DI39" s="11"/>
      <c r="DJ39" s="11"/>
      <c r="DK39" s="11"/>
      <c r="DL39" s="11"/>
      <c r="DM39" s="11"/>
      <c r="DN39" s="11"/>
      <c r="DO39" s="11"/>
      <c r="DP39" s="11"/>
      <c r="DQ39" s="11"/>
      <c r="DR39" s="11"/>
      <c r="DS39" s="11"/>
      <c r="DT39" s="11"/>
      <c r="DU39" s="11"/>
      <c r="DV39" s="11"/>
      <c r="DW39" s="11"/>
      <c r="DX39" s="11"/>
      <c r="DY39" s="11"/>
      <c r="DZ39" s="11"/>
      <c r="EA39" s="11"/>
      <c r="EB39" s="11"/>
      <c r="EC39" s="11"/>
      <c r="ED39" s="11"/>
      <c r="EE39" s="11"/>
      <c r="EF39" s="11"/>
      <c r="EG39" s="11"/>
      <c r="EH39" s="11"/>
      <c r="EI39" s="11"/>
      <c r="EJ39" s="11"/>
      <c r="EK39" s="11"/>
      <c r="EL39" s="11"/>
      <c r="EM39" s="11"/>
      <c r="EN39" s="11"/>
      <c r="EO39" s="11"/>
      <c r="EP39" s="11"/>
      <c r="EQ39" s="11"/>
      <c r="ER39" s="11"/>
      <c r="ES39" s="11"/>
      <c r="ET39" s="11"/>
      <c r="EU39" s="11"/>
      <c r="EV39" s="11"/>
      <c r="EW39" s="11"/>
      <c r="EX39" s="11"/>
      <c r="EY39" s="11"/>
      <c r="EZ39" s="11"/>
      <c r="FA39" s="11"/>
      <c r="FB39" s="11"/>
      <c r="FC39" s="11"/>
      <c r="FD39" s="11"/>
      <c r="FE39" s="11"/>
      <c r="FF39" s="11"/>
      <c r="FG39" s="11"/>
      <c r="FH39" s="11"/>
      <c r="FI39" s="11"/>
      <c r="FJ39" s="11"/>
      <c r="FK39" s="11"/>
      <c r="FL39" s="11"/>
      <c r="FM39" s="11"/>
      <c r="FN39" s="11"/>
      <c r="FO39" s="11"/>
      <c r="FP39" s="11"/>
      <c r="FQ39" s="11"/>
      <c r="FR39" s="11"/>
      <c r="FS39" s="11"/>
      <c r="FT39" s="11"/>
      <c r="FU39" s="11"/>
      <c r="FV39" s="11"/>
      <c r="FW39" s="11"/>
      <c r="FX39" s="11"/>
      <c r="FY39" s="11"/>
      <c r="FZ39" s="11"/>
      <c r="GA39" s="11"/>
      <c r="GB39" s="11"/>
      <c r="GC39" s="11"/>
      <c r="GD39" s="11"/>
      <c r="GE39" s="11"/>
      <c r="GF39" s="11"/>
      <c r="GG39" s="11"/>
      <c r="GH39" s="11"/>
      <c r="GI39" s="11"/>
      <c r="GJ39" s="11"/>
      <c r="GK39" s="11"/>
      <c r="GL39" s="11"/>
      <c r="GM39" s="11"/>
      <c r="GN39" s="11"/>
      <c r="GO39" s="11"/>
      <c r="GP39" s="11"/>
      <c r="GQ39" s="11"/>
      <c r="GR39" s="11"/>
      <c r="GS39" s="11"/>
      <c r="GT39" s="11"/>
      <c r="GU39" s="11"/>
      <c r="GV39" s="11"/>
      <c r="GW39" s="11"/>
      <c r="GX39" s="11"/>
      <c r="GY39" s="11"/>
      <c r="GZ39" s="11"/>
      <c r="HA39" s="11"/>
      <c r="HB39" s="11"/>
      <c r="HC39" s="11"/>
      <c r="HD39" s="11"/>
      <c r="HE39" s="11"/>
      <c r="HF39" s="11"/>
      <c r="HG39" s="11"/>
      <c r="HH39" s="11"/>
      <c r="HI39" s="11"/>
      <c r="HJ39" s="11"/>
      <c r="HK39" s="11"/>
      <c r="HL39" s="11"/>
      <c r="HM39" s="11"/>
      <c r="HN39" s="11"/>
      <c r="HO39" s="11"/>
      <c r="HP39" s="11"/>
      <c r="HQ39" s="11"/>
      <c r="HR39" s="11"/>
      <c r="HS39" s="11"/>
      <c r="HT39" s="11"/>
      <c r="HU39" s="11"/>
      <c r="HV39" s="11"/>
      <c r="HW39" s="11"/>
      <c r="HX39" s="11"/>
      <c r="HY39" s="11"/>
      <c r="HZ39" s="11"/>
      <c r="IA39" s="11"/>
      <c r="IB39" s="11"/>
      <c r="IC39" s="11"/>
      <c r="ID39" s="11"/>
      <c r="IE39" s="11"/>
    </row>
    <row r="40" spans="1:239" ht="18.75" thickBot="1" x14ac:dyDescent="0.3">
      <c r="A40" s="8"/>
      <c r="B40" s="193"/>
      <c r="C40" s="540" t="s">
        <v>12</v>
      </c>
      <c r="D40" s="540"/>
      <c r="E40" s="540"/>
      <c r="F40" s="540"/>
      <c r="G40" s="540"/>
      <c r="H40" s="540"/>
      <c r="I40" s="540"/>
      <c r="J40" s="540"/>
      <c r="K40" s="540"/>
      <c r="L40" s="540"/>
      <c r="M40" s="540"/>
      <c r="N40" s="540"/>
      <c r="O40" s="540"/>
      <c r="P40" s="540"/>
      <c r="Q40" s="540"/>
      <c r="R40" s="540"/>
      <c r="S40" s="540"/>
      <c r="T40" s="540"/>
      <c r="U40" s="540"/>
      <c r="V40" s="540"/>
      <c r="W40" s="540"/>
      <c r="X40" s="507"/>
      <c r="Y40" s="507"/>
      <c r="Z40" s="507"/>
      <c r="AA40" s="507"/>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c r="BG40" s="11"/>
      <c r="BH40" s="11"/>
      <c r="BI40" s="11"/>
      <c r="BJ40" s="11"/>
      <c r="BK40" s="11"/>
      <c r="BL40" s="11"/>
      <c r="BM40" s="11"/>
      <c r="BN40" s="11"/>
      <c r="BO40" s="11"/>
      <c r="BP40" s="11"/>
      <c r="BQ40" s="11"/>
      <c r="BR40" s="11"/>
      <c r="BS40" s="11"/>
      <c r="BT40" s="11"/>
      <c r="BU40" s="11"/>
      <c r="BV40" s="11"/>
      <c r="BW40" s="11"/>
      <c r="BX40" s="11"/>
      <c r="BY40" s="11"/>
      <c r="BZ40" s="11"/>
      <c r="CA40" s="11"/>
      <c r="CB40" s="11"/>
      <c r="CC40" s="11"/>
      <c r="CD40" s="11"/>
      <c r="CE40" s="11"/>
      <c r="CF40" s="11"/>
      <c r="CG40" s="11"/>
      <c r="CH40" s="11"/>
      <c r="CI40" s="11"/>
      <c r="CJ40" s="11"/>
      <c r="CK40" s="11"/>
      <c r="CL40" s="11"/>
      <c r="CM40" s="11"/>
      <c r="CN40" s="11"/>
      <c r="CO40" s="11"/>
      <c r="CP40" s="11"/>
      <c r="CQ40" s="11"/>
      <c r="CR40" s="11"/>
      <c r="CS40" s="11"/>
      <c r="CT40" s="11"/>
      <c r="CU40" s="11"/>
      <c r="CV40" s="11"/>
      <c r="CW40" s="11"/>
      <c r="CX40" s="11"/>
      <c r="CY40" s="11"/>
      <c r="CZ40" s="11"/>
      <c r="DA40" s="11"/>
      <c r="DB40" s="11"/>
      <c r="DC40" s="11"/>
      <c r="DD40" s="11"/>
      <c r="DE40" s="11"/>
      <c r="DF40" s="11"/>
      <c r="DG40" s="11"/>
      <c r="DH40" s="11"/>
      <c r="DI40" s="11"/>
      <c r="DJ40" s="11"/>
      <c r="DK40" s="11"/>
      <c r="DL40" s="11"/>
      <c r="DM40" s="11"/>
      <c r="DN40" s="11"/>
      <c r="DO40" s="11"/>
      <c r="DP40" s="11"/>
      <c r="DQ40" s="11"/>
      <c r="DR40" s="11"/>
      <c r="DS40" s="11"/>
      <c r="DT40" s="11"/>
      <c r="DU40" s="11"/>
      <c r="DV40" s="11"/>
      <c r="DW40" s="11"/>
      <c r="DX40" s="11"/>
      <c r="DY40" s="11"/>
      <c r="DZ40" s="11"/>
      <c r="EA40" s="11"/>
      <c r="EB40" s="11"/>
      <c r="EC40" s="11"/>
      <c r="ED40" s="11"/>
      <c r="EE40" s="11"/>
      <c r="EF40" s="11"/>
      <c r="EG40" s="11"/>
      <c r="EH40" s="11"/>
      <c r="EI40" s="11"/>
      <c r="EJ40" s="11"/>
      <c r="EK40" s="11"/>
      <c r="EL40" s="11"/>
      <c r="EM40" s="11"/>
      <c r="EN40" s="11"/>
      <c r="EO40" s="11"/>
      <c r="EP40" s="11"/>
      <c r="EQ40" s="11"/>
      <c r="ER40" s="11"/>
      <c r="ES40" s="11"/>
      <c r="ET40" s="11"/>
      <c r="EU40" s="11"/>
      <c r="EV40" s="11"/>
      <c r="EW40" s="11"/>
      <c r="EX40" s="11"/>
      <c r="EY40" s="11"/>
      <c r="EZ40" s="11"/>
      <c r="FA40" s="11"/>
      <c r="FB40" s="11"/>
      <c r="FC40" s="11"/>
      <c r="FD40" s="11"/>
      <c r="FE40" s="11"/>
      <c r="FF40" s="11"/>
      <c r="FG40" s="11"/>
      <c r="FH40" s="11"/>
      <c r="FI40" s="11"/>
      <c r="FJ40" s="11"/>
      <c r="FK40" s="11"/>
      <c r="FL40" s="11"/>
      <c r="FM40" s="11"/>
      <c r="FN40" s="11"/>
      <c r="FO40" s="11"/>
      <c r="FP40" s="11"/>
      <c r="FQ40" s="11"/>
      <c r="FR40" s="11"/>
      <c r="FS40" s="11"/>
      <c r="FT40" s="11"/>
      <c r="FU40" s="11"/>
      <c r="FV40" s="11"/>
      <c r="FW40" s="11"/>
      <c r="FX40" s="11"/>
      <c r="FY40" s="11"/>
      <c r="FZ40" s="11"/>
      <c r="GA40" s="11"/>
      <c r="GB40" s="11"/>
      <c r="GC40" s="11"/>
      <c r="GD40" s="11"/>
      <c r="GE40" s="11"/>
      <c r="GF40" s="11"/>
      <c r="GG40" s="11"/>
      <c r="GH40" s="11"/>
      <c r="GI40" s="11"/>
      <c r="GJ40" s="11"/>
      <c r="GK40" s="11"/>
      <c r="GL40" s="11"/>
      <c r="GM40" s="11"/>
      <c r="GN40" s="11"/>
      <c r="GO40" s="11"/>
      <c r="GP40" s="11"/>
      <c r="GQ40" s="11"/>
      <c r="GR40" s="11"/>
      <c r="GS40" s="11"/>
      <c r="GT40" s="11"/>
      <c r="GU40" s="11"/>
      <c r="GV40" s="11"/>
      <c r="GW40" s="11"/>
      <c r="GX40" s="11"/>
      <c r="GY40" s="11"/>
      <c r="GZ40" s="11"/>
      <c r="HA40" s="11"/>
      <c r="HB40" s="11"/>
      <c r="HC40" s="11"/>
      <c r="HD40" s="11"/>
      <c r="HE40" s="11"/>
      <c r="HF40" s="11"/>
      <c r="HG40" s="11"/>
      <c r="HH40" s="11"/>
      <c r="HI40" s="11"/>
      <c r="HJ40" s="11"/>
      <c r="HK40" s="11"/>
      <c r="HL40" s="11"/>
      <c r="HM40" s="11"/>
      <c r="HN40" s="11"/>
      <c r="HO40" s="11"/>
      <c r="HP40" s="11"/>
      <c r="HQ40" s="11"/>
      <c r="HR40" s="11"/>
      <c r="HS40" s="11"/>
      <c r="HT40" s="11"/>
      <c r="HU40" s="11"/>
      <c r="HV40" s="11"/>
      <c r="HW40" s="11"/>
      <c r="HX40" s="11"/>
      <c r="HY40" s="11"/>
      <c r="HZ40" s="11"/>
      <c r="IA40" s="11"/>
      <c r="IB40" s="11"/>
      <c r="IC40" s="11"/>
      <c r="ID40" s="11"/>
      <c r="IE40" s="11"/>
    </row>
    <row r="41" spans="1:239" ht="21.75" customHeight="1" thickBot="1" x14ac:dyDescent="0.3">
      <c r="A41" s="39" t="s">
        <v>4</v>
      </c>
      <c r="B41" s="193"/>
      <c r="C41" s="181" t="s">
        <v>13</v>
      </c>
      <c r="D41" s="178">
        <f>'ES CT Gas Table A'!D37</f>
        <v>121815</v>
      </c>
      <c r="E41" s="178">
        <f>'[9]CNG Table A'!$I$45</f>
        <v>81470.3</v>
      </c>
      <c r="F41" s="178">
        <f>'[9]SCG Table A'!$I$45</f>
        <v>80627.61</v>
      </c>
      <c r="G41" s="178">
        <f t="shared" ref="G41:G49" si="27">SUM(D41:F41)</f>
        <v>283912.90999999997</v>
      </c>
      <c r="H41" s="178">
        <f>'ES CT Gas Table A'!F37</f>
        <v>81568</v>
      </c>
      <c r="I41" s="178">
        <f>'[10]CNG Table A'!$E$41</f>
        <v>207327</v>
      </c>
      <c r="J41" s="178">
        <f>'[10]SCG Table A'!$E$41</f>
        <v>159274</v>
      </c>
      <c r="K41" s="178">
        <f t="shared" ref="K41:K49" si="28">SUM(H41:J41)</f>
        <v>448169</v>
      </c>
      <c r="L41" s="178">
        <f>'ES CT Gas Table A'!I37</f>
        <v>150932.81669718699</v>
      </c>
      <c r="M41" s="178">
        <f>'[10]CNG Table A'!$G$41</f>
        <v>188010.6985</v>
      </c>
      <c r="N41" s="178">
        <f>'[10]SCG Table A'!$G$41</f>
        <v>188007</v>
      </c>
      <c r="O41" s="178">
        <f t="shared" ref="O41:O49" si="29">SUM(L41:N41)</f>
        <v>526950.51519718696</v>
      </c>
      <c r="P41" s="178">
        <f>'ES CT Gas Table A'!L37</f>
        <v>150932.81669718699</v>
      </c>
      <c r="Q41" s="178">
        <f>'[11]CNG Table A'!J41</f>
        <v>188010.6985</v>
      </c>
      <c r="R41" s="178">
        <f>'[11]SCG Table A'!J41</f>
        <v>188007</v>
      </c>
      <c r="S41" s="178">
        <f t="shared" ref="S41:S49" si="30">SUM(P41:R41)</f>
        <v>526950.51519718696</v>
      </c>
      <c r="T41" s="178">
        <f>'ES CT Gas Table A'!N37</f>
        <v>150932.81669718699</v>
      </c>
      <c r="U41" s="178">
        <f>'[11]CNG Table A'!M41</f>
        <v>188010.6985</v>
      </c>
      <c r="V41" s="178">
        <f>'[11]SCG Table A'!M41</f>
        <v>188007</v>
      </c>
      <c r="W41" s="178">
        <f t="shared" ref="W41:W49" si="31">SUM(T41:V41)</f>
        <v>526950.51519718696</v>
      </c>
      <c r="X41" s="178">
        <f>'ES CT Gas Table A'!O37</f>
        <v>150932.81669718699</v>
      </c>
      <c r="Y41" s="178">
        <f>'[11]CNG Table A'!N41</f>
        <v>188010.6985</v>
      </c>
      <c r="Z41" s="178">
        <f>'[11]SCG Table A'!N41</f>
        <v>188007</v>
      </c>
      <c r="AA41" s="178">
        <f t="shared" ref="AA41:AA49" si="32">SUM(X41:Z41)</f>
        <v>526950.51519718696</v>
      </c>
      <c r="AB41" s="13"/>
      <c r="AC41" s="13"/>
      <c r="AD41" s="13"/>
      <c r="AE41" s="13"/>
      <c r="AF41" s="13"/>
      <c r="AG41" s="13"/>
      <c r="AH41" s="13"/>
      <c r="AI41" s="13"/>
      <c r="AJ41" s="13"/>
      <c r="AK41" s="13"/>
      <c r="AL41" s="13"/>
      <c r="AM41" s="13"/>
      <c r="AN41" s="13"/>
      <c r="AO41" s="13"/>
      <c r="AP41" s="13"/>
      <c r="AQ41" s="13"/>
      <c r="AR41" s="13"/>
      <c r="AS41" s="13"/>
      <c r="AT41" s="13"/>
      <c r="AU41" s="13"/>
      <c r="AV41" s="13"/>
      <c r="AW41" s="13"/>
      <c r="AX41" s="13"/>
      <c r="AY41" s="13"/>
      <c r="AZ41" s="13"/>
      <c r="BA41" s="13"/>
      <c r="BB41" s="13"/>
      <c r="BC41" s="13"/>
      <c r="BD41" s="13"/>
      <c r="BE41" s="13"/>
      <c r="BF41" s="13"/>
      <c r="BG41" s="13"/>
      <c r="BH41" s="13"/>
      <c r="BI41" s="13"/>
      <c r="BJ41" s="13"/>
      <c r="BK41" s="13"/>
      <c r="BL41" s="13"/>
      <c r="BM41" s="13"/>
      <c r="BN41" s="13"/>
      <c r="BO41" s="13"/>
      <c r="BP41" s="13"/>
      <c r="BQ41" s="13"/>
      <c r="BR41" s="13"/>
      <c r="BS41" s="13"/>
      <c r="BT41" s="13"/>
      <c r="BU41" s="13"/>
      <c r="BV41" s="13"/>
      <c r="BW41" s="13"/>
      <c r="BX41" s="13"/>
      <c r="BY41" s="13"/>
      <c r="BZ41" s="13"/>
      <c r="CA41" s="13"/>
      <c r="CB41" s="13"/>
      <c r="CC41" s="13"/>
      <c r="CD41" s="13"/>
      <c r="CE41" s="13"/>
      <c r="CF41" s="13"/>
      <c r="CG41" s="13"/>
      <c r="CH41" s="13"/>
      <c r="CI41" s="13"/>
      <c r="CJ41" s="13"/>
      <c r="CK41" s="13"/>
      <c r="CL41" s="13"/>
      <c r="CM41" s="13"/>
      <c r="CN41" s="13"/>
      <c r="CO41" s="13"/>
      <c r="CP41" s="13"/>
      <c r="CQ41" s="13"/>
      <c r="CR41" s="13"/>
      <c r="CS41" s="13"/>
      <c r="CT41" s="13"/>
      <c r="CU41" s="13"/>
      <c r="CV41" s="13"/>
      <c r="CW41" s="13"/>
      <c r="CX41" s="13"/>
      <c r="CY41" s="13"/>
      <c r="CZ41" s="13"/>
      <c r="DA41" s="13"/>
      <c r="DB41" s="13"/>
      <c r="DC41" s="13"/>
      <c r="DD41" s="13"/>
      <c r="DE41" s="13"/>
      <c r="DF41" s="13"/>
      <c r="DG41" s="13"/>
      <c r="DH41" s="13"/>
      <c r="DI41" s="13"/>
      <c r="DJ41" s="13"/>
      <c r="DK41" s="13"/>
      <c r="DL41" s="13"/>
      <c r="DM41" s="13"/>
      <c r="DN41" s="13"/>
      <c r="DO41" s="13"/>
      <c r="DP41" s="13"/>
      <c r="DQ41" s="13"/>
      <c r="DR41" s="13"/>
      <c r="DS41" s="13"/>
      <c r="DT41" s="13"/>
      <c r="DU41" s="13"/>
      <c r="DV41" s="13"/>
      <c r="DW41" s="13"/>
      <c r="DX41" s="13"/>
      <c r="DY41" s="13"/>
      <c r="DZ41" s="13"/>
      <c r="EA41" s="13"/>
      <c r="EB41" s="13"/>
      <c r="EC41" s="13"/>
      <c r="ED41" s="13"/>
      <c r="EE41" s="13"/>
      <c r="EF41" s="13"/>
      <c r="EG41" s="13"/>
      <c r="EH41" s="13"/>
      <c r="EI41" s="13"/>
      <c r="EJ41" s="13"/>
      <c r="EK41" s="13"/>
      <c r="EL41" s="13"/>
      <c r="EM41" s="13"/>
      <c r="EN41" s="13"/>
      <c r="EO41" s="13"/>
      <c r="EP41" s="13"/>
      <c r="EQ41" s="13"/>
      <c r="ER41" s="13"/>
      <c r="ES41" s="13"/>
      <c r="ET41" s="13"/>
      <c r="EU41" s="13"/>
      <c r="EV41" s="13"/>
      <c r="EW41" s="13"/>
      <c r="EX41" s="13"/>
      <c r="EY41" s="13"/>
      <c r="EZ41" s="13"/>
      <c r="FA41" s="13"/>
      <c r="FB41" s="13"/>
      <c r="FC41" s="13"/>
      <c r="FD41" s="13"/>
      <c r="FE41" s="13"/>
      <c r="FF41" s="13"/>
      <c r="FG41" s="13"/>
      <c r="FH41" s="13"/>
      <c r="FI41" s="13"/>
      <c r="FJ41" s="13"/>
      <c r="FK41" s="13"/>
      <c r="FL41" s="13"/>
      <c r="FM41" s="13"/>
      <c r="FN41" s="13"/>
      <c r="FO41" s="13"/>
      <c r="FP41" s="13"/>
      <c r="FQ41" s="13"/>
      <c r="FR41" s="13"/>
      <c r="FS41" s="13"/>
      <c r="FT41" s="13"/>
      <c r="FU41" s="13"/>
      <c r="FV41" s="13"/>
      <c r="FW41" s="13"/>
      <c r="FX41" s="13"/>
      <c r="FY41" s="13"/>
      <c r="FZ41" s="13"/>
      <c r="GA41" s="13"/>
      <c r="GB41" s="13"/>
      <c r="GC41" s="13"/>
      <c r="GD41" s="13"/>
      <c r="GE41" s="13"/>
      <c r="GF41" s="13"/>
      <c r="GG41" s="13"/>
      <c r="GH41" s="13"/>
      <c r="GI41" s="13"/>
      <c r="GJ41" s="13"/>
      <c r="GK41" s="13"/>
      <c r="GL41" s="13"/>
      <c r="GM41" s="13"/>
      <c r="GN41" s="13"/>
      <c r="GO41" s="13"/>
      <c r="GP41" s="13"/>
      <c r="GQ41" s="13"/>
      <c r="GR41" s="13"/>
      <c r="GS41" s="13"/>
      <c r="GT41" s="13"/>
      <c r="GU41" s="13"/>
      <c r="GV41" s="13"/>
      <c r="GW41" s="13"/>
      <c r="GX41" s="13"/>
      <c r="GY41" s="13"/>
      <c r="GZ41" s="13"/>
      <c r="HA41" s="13"/>
      <c r="HB41" s="13"/>
      <c r="HC41" s="13"/>
      <c r="HD41" s="13"/>
      <c r="HE41" s="13"/>
      <c r="HF41" s="13"/>
      <c r="HG41" s="13"/>
      <c r="HH41" s="13"/>
      <c r="HI41" s="13"/>
      <c r="HJ41" s="13"/>
      <c r="HK41" s="13"/>
      <c r="HL41" s="13"/>
      <c r="HM41" s="13"/>
      <c r="HN41" s="13"/>
      <c r="HO41" s="13"/>
      <c r="HP41" s="13"/>
      <c r="HQ41" s="13"/>
      <c r="HR41" s="13"/>
      <c r="HS41" s="13"/>
      <c r="HT41" s="13"/>
      <c r="HU41" s="13"/>
      <c r="HV41" s="13"/>
      <c r="HW41" s="13"/>
      <c r="HX41" s="13"/>
      <c r="HY41" s="13"/>
      <c r="HZ41" s="13"/>
      <c r="IA41" s="13"/>
      <c r="IB41" s="13"/>
      <c r="IC41" s="13"/>
      <c r="ID41" s="13"/>
      <c r="IE41" s="13"/>
    </row>
    <row r="42" spans="1:239" ht="21" customHeight="1" thickBot="1" x14ac:dyDescent="0.3">
      <c r="A42" s="12" t="s">
        <v>49</v>
      </c>
      <c r="B42" s="193"/>
      <c r="C42" s="181" t="s">
        <v>14</v>
      </c>
      <c r="D42" s="178">
        <f>'ES CT Gas Table A'!D38</f>
        <v>35467</v>
      </c>
      <c r="E42" s="178">
        <f>'[9]CNG Table A'!$I$46</f>
        <v>10695.800000000003</v>
      </c>
      <c r="F42" s="178">
        <f>'[9]SCG Table A'!$I$46</f>
        <v>9312.0999999999985</v>
      </c>
      <c r="G42" s="178">
        <f t="shared" si="27"/>
        <v>55474.9</v>
      </c>
      <c r="H42" s="178">
        <f>'ES CT Gas Table A'!F38</f>
        <v>58999</v>
      </c>
      <c r="I42" s="178">
        <f>'[10]CNG Table A'!$E$42</f>
        <v>72130</v>
      </c>
      <c r="J42" s="178">
        <f>'[10]SCG Table A'!$E$42</f>
        <v>70801</v>
      </c>
      <c r="K42" s="178">
        <f t="shared" si="28"/>
        <v>201930</v>
      </c>
      <c r="L42" s="178">
        <f>'ES CT Gas Table A'!I38</f>
        <v>40100.498656621698</v>
      </c>
      <c r="M42" s="178">
        <f>'[10]CNG Table A'!$G$42</f>
        <v>40100</v>
      </c>
      <c r="N42" s="178">
        <f>'[10]SCG Table A'!$G$42</f>
        <v>40100</v>
      </c>
      <c r="O42" s="178">
        <f t="shared" si="29"/>
        <v>120300.4986566217</v>
      </c>
      <c r="P42" s="178">
        <f>'ES CT Gas Table A'!L38</f>
        <v>40100.498656621698</v>
      </c>
      <c r="Q42" s="178">
        <f>'[11]CNG Table A'!J42</f>
        <v>40100</v>
      </c>
      <c r="R42" s="178">
        <f>'[11]SCG Table A'!J42</f>
        <v>40100</v>
      </c>
      <c r="S42" s="178">
        <f t="shared" si="30"/>
        <v>120300.4986566217</v>
      </c>
      <c r="T42" s="178">
        <f>'ES CT Gas Table A'!N38</f>
        <v>40100.498656621698</v>
      </c>
      <c r="U42" s="178">
        <f>'[11]CNG Table A'!M42</f>
        <v>40100</v>
      </c>
      <c r="V42" s="178">
        <f>'[11]SCG Table A'!M42</f>
        <v>40100</v>
      </c>
      <c r="W42" s="178">
        <f t="shared" si="31"/>
        <v>120300.4986566217</v>
      </c>
      <c r="X42" s="178">
        <f>'ES CT Gas Table A'!O38</f>
        <v>40100.498656621698</v>
      </c>
      <c r="Y42" s="178">
        <f>'[11]CNG Table A'!N42</f>
        <v>40100</v>
      </c>
      <c r="Z42" s="178">
        <f>'[11]SCG Table A'!N42</f>
        <v>40100</v>
      </c>
      <c r="AA42" s="178">
        <f t="shared" si="32"/>
        <v>120300.4986566217</v>
      </c>
    </row>
    <row r="43" spans="1:239" ht="21.75" customHeight="1" thickBot="1" x14ac:dyDescent="0.3">
      <c r="A43" s="6" t="s">
        <v>4</v>
      </c>
      <c r="B43" s="193"/>
      <c r="C43" s="181" t="s">
        <v>16</v>
      </c>
      <c r="D43" s="178">
        <f>'ES CT Gas Table A'!D39</f>
        <v>136377</v>
      </c>
      <c r="E43" s="178">
        <f>'[9]CNG Table A'!$I$47</f>
        <v>114343.37999999998</v>
      </c>
      <c r="F43" s="178">
        <f>'[9]SCG Table A'!$I$47</f>
        <v>114343.39999999998</v>
      </c>
      <c r="G43" s="178">
        <f t="shared" si="27"/>
        <v>365063.77999999997</v>
      </c>
      <c r="H43" s="178">
        <f>'ES CT Gas Table A'!F39</f>
        <v>88185</v>
      </c>
      <c r="I43" s="178">
        <f>'[10]CNG Table A'!$E$43</f>
        <v>99898.4</v>
      </c>
      <c r="J43" s="178">
        <f>'[10]SCG Table A'!$E$43</f>
        <v>90033.4</v>
      </c>
      <c r="K43" s="178">
        <f t="shared" si="28"/>
        <v>278116.8</v>
      </c>
      <c r="L43" s="178">
        <f>'ES CT Gas Table A'!I39</f>
        <v>79158.301981167999</v>
      </c>
      <c r="M43" s="178">
        <f>'[10]CNG Table A'!$G$43</f>
        <v>122147.7415</v>
      </c>
      <c r="N43" s="178">
        <f>'[10]SCG Table A'!$G$43</f>
        <v>63502</v>
      </c>
      <c r="O43" s="178">
        <f t="shared" si="29"/>
        <v>264808.04348116799</v>
      </c>
      <c r="P43" s="178">
        <f>'ES CT Gas Table A'!L39</f>
        <v>79158.301981167999</v>
      </c>
      <c r="Q43" s="178">
        <f>'[11]CNG Table A'!J43</f>
        <v>122147.7415</v>
      </c>
      <c r="R43" s="178">
        <f>'[11]SCG Table A'!J43</f>
        <v>63502</v>
      </c>
      <c r="S43" s="178">
        <f t="shared" si="30"/>
        <v>264808.04348116799</v>
      </c>
      <c r="T43" s="178">
        <f>'ES CT Gas Table A'!N39</f>
        <v>79158.301981167999</v>
      </c>
      <c r="U43" s="178">
        <f>'[11]CNG Table A'!M43</f>
        <v>122147.7415</v>
      </c>
      <c r="V43" s="178">
        <f>'[11]SCG Table A'!M43</f>
        <v>63502</v>
      </c>
      <c r="W43" s="178">
        <f t="shared" si="31"/>
        <v>264808.04348116799</v>
      </c>
      <c r="X43" s="178">
        <f>'ES CT Gas Table A'!O39</f>
        <v>79158.301981167999</v>
      </c>
      <c r="Y43" s="178">
        <f>'[11]CNG Table A'!N43</f>
        <v>122147.7415</v>
      </c>
      <c r="Z43" s="178">
        <f>'[11]SCG Table A'!N43</f>
        <v>63502</v>
      </c>
      <c r="AA43" s="178">
        <f t="shared" si="32"/>
        <v>264808.04348116799</v>
      </c>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c r="BI43" s="11"/>
      <c r="BJ43" s="11"/>
      <c r="BK43" s="11"/>
      <c r="BL43" s="11"/>
      <c r="BM43" s="11"/>
      <c r="BN43" s="11"/>
      <c r="BO43" s="11"/>
      <c r="BP43" s="11"/>
      <c r="BQ43" s="11"/>
      <c r="BR43" s="11"/>
      <c r="BS43" s="11"/>
      <c r="BT43" s="11"/>
      <c r="BU43" s="11"/>
      <c r="BV43" s="11"/>
      <c r="BW43" s="11"/>
      <c r="BX43" s="11"/>
      <c r="BY43" s="11"/>
      <c r="BZ43" s="11"/>
      <c r="CA43" s="11"/>
      <c r="CB43" s="11"/>
      <c r="CC43" s="11"/>
      <c r="CD43" s="11"/>
      <c r="CE43" s="11"/>
      <c r="CF43" s="11"/>
      <c r="CG43" s="11"/>
      <c r="CH43" s="11"/>
      <c r="CI43" s="11"/>
      <c r="CJ43" s="11"/>
      <c r="CK43" s="11"/>
      <c r="CL43" s="11"/>
      <c r="CM43" s="11"/>
      <c r="CN43" s="11"/>
      <c r="CO43" s="11"/>
      <c r="CP43" s="11"/>
      <c r="CQ43" s="11"/>
      <c r="CR43" s="11"/>
      <c r="CS43" s="11"/>
      <c r="CT43" s="11"/>
      <c r="CU43" s="11"/>
      <c r="CV43" s="11"/>
      <c r="CW43" s="11"/>
      <c r="CX43" s="11"/>
      <c r="CY43" s="11"/>
      <c r="CZ43" s="11"/>
      <c r="DA43" s="11"/>
      <c r="DB43" s="11"/>
      <c r="DC43" s="11"/>
      <c r="DD43" s="11"/>
      <c r="DE43" s="11"/>
      <c r="DF43" s="11"/>
      <c r="DG43" s="11"/>
      <c r="DH43" s="11"/>
      <c r="DI43" s="11"/>
      <c r="DJ43" s="11"/>
      <c r="DK43" s="11"/>
      <c r="DL43" s="11"/>
      <c r="DM43" s="11"/>
      <c r="DN43" s="11"/>
      <c r="DO43" s="11"/>
      <c r="DP43" s="11"/>
      <c r="DQ43" s="11"/>
      <c r="DR43" s="11"/>
      <c r="DS43" s="11"/>
      <c r="DT43" s="11"/>
      <c r="DU43" s="11"/>
      <c r="DV43" s="11"/>
      <c r="DW43" s="11"/>
      <c r="DX43" s="11"/>
      <c r="DY43" s="11"/>
      <c r="DZ43" s="11"/>
      <c r="EA43" s="11"/>
      <c r="EB43" s="11"/>
      <c r="EC43" s="11"/>
      <c r="ED43" s="11"/>
      <c r="EE43" s="11"/>
      <c r="EF43" s="11"/>
      <c r="EG43" s="11"/>
      <c r="EH43" s="11"/>
      <c r="EI43" s="11"/>
      <c r="EJ43" s="11"/>
      <c r="EK43" s="11"/>
      <c r="EL43" s="11"/>
      <c r="EM43" s="11"/>
      <c r="EN43" s="11"/>
      <c r="EO43" s="11"/>
      <c r="EP43" s="11"/>
      <c r="EQ43" s="11"/>
      <c r="ER43" s="11"/>
      <c r="ES43" s="11"/>
      <c r="ET43" s="11"/>
      <c r="EU43" s="11"/>
      <c r="EV43" s="11"/>
      <c r="EW43" s="11"/>
      <c r="EX43" s="11"/>
      <c r="EY43" s="11"/>
      <c r="EZ43" s="11"/>
      <c r="FA43" s="11"/>
      <c r="FB43" s="11"/>
      <c r="FC43" s="11"/>
      <c r="FD43" s="11"/>
      <c r="FE43" s="11"/>
      <c r="FF43" s="11"/>
      <c r="FG43" s="11"/>
      <c r="FH43" s="11"/>
      <c r="FI43" s="11"/>
      <c r="FJ43" s="11"/>
      <c r="FK43" s="11"/>
      <c r="FL43" s="11"/>
      <c r="FM43" s="11"/>
      <c r="FN43" s="11"/>
      <c r="FO43" s="11"/>
      <c r="FP43" s="11"/>
      <c r="FQ43" s="11"/>
      <c r="FR43" s="11"/>
      <c r="FS43" s="11"/>
      <c r="FT43" s="11"/>
      <c r="FU43" s="11"/>
      <c r="FV43" s="11"/>
      <c r="FW43" s="11"/>
      <c r="FX43" s="11"/>
      <c r="FY43" s="11"/>
      <c r="FZ43" s="11"/>
      <c r="GA43" s="11"/>
      <c r="GB43" s="11"/>
      <c r="GC43" s="11"/>
      <c r="GD43" s="11"/>
      <c r="GE43" s="11"/>
      <c r="GF43" s="11"/>
      <c r="GG43" s="11"/>
      <c r="GH43" s="11"/>
      <c r="GI43" s="11"/>
      <c r="GJ43" s="11"/>
      <c r="GK43" s="11"/>
      <c r="GL43" s="11"/>
      <c r="GM43" s="11"/>
      <c r="GN43" s="11"/>
      <c r="GO43" s="11"/>
      <c r="GP43" s="11"/>
      <c r="GQ43" s="11"/>
      <c r="GR43" s="11"/>
      <c r="GS43" s="11"/>
      <c r="GT43" s="11"/>
      <c r="GU43" s="11"/>
      <c r="GV43" s="11"/>
      <c r="GW43" s="11"/>
      <c r="GX43" s="11"/>
      <c r="GY43" s="11"/>
      <c r="GZ43" s="11"/>
      <c r="HA43" s="11"/>
      <c r="HB43" s="11"/>
      <c r="HC43" s="11"/>
      <c r="HD43" s="11"/>
      <c r="HE43" s="11"/>
      <c r="HF43" s="11"/>
      <c r="HG43" s="11"/>
      <c r="HH43" s="11"/>
      <c r="HI43" s="11"/>
      <c r="HJ43" s="11"/>
      <c r="HK43" s="11"/>
      <c r="HL43" s="11"/>
      <c r="HM43" s="11"/>
      <c r="HN43" s="11"/>
      <c r="HO43" s="11"/>
      <c r="HP43" s="11"/>
      <c r="HQ43" s="11"/>
      <c r="HR43" s="11"/>
      <c r="HS43" s="11"/>
      <c r="HT43" s="11"/>
      <c r="HU43" s="11"/>
      <c r="HV43" s="11"/>
      <c r="HW43" s="11"/>
      <c r="HX43" s="11"/>
      <c r="HY43" s="11"/>
      <c r="HZ43" s="11"/>
      <c r="IA43" s="11"/>
      <c r="IB43" s="11"/>
      <c r="IC43" s="11"/>
      <c r="ID43" s="11"/>
      <c r="IE43" s="11"/>
    </row>
    <row r="44" spans="1:239" ht="18.75" thickBot="1" x14ac:dyDescent="0.3">
      <c r="A44" s="6" t="s">
        <v>4</v>
      </c>
      <c r="B44" s="193"/>
      <c r="C44" s="181" t="s">
        <v>150</v>
      </c>
      <c r="D44" s="178">
        <f>'ES CT Gas Table A'!D40</f>
        <v>200000.29029161701</v>
      </c>
      <c r="E44" s="178">
        <f>'[9]CNG Table A'!$I$48</f>
        <v>197792.12000000005</v>
      </c>
      <c r="F44" s="178">
        <f>'[9]SCG Table A'!$I$48</f>
        <v>200834.85999999996</v>
      </c>
      <c r="G44" s="178">
        <f t="shared" si="27"/>
        <v>598627.27029161702</v>
      </c>
      <c r="H44" s="178">
        <f>'ES CT Gas Table A'!F40</f>
        <v>200000</v>
      </c>
      <c r="I44" s="178">
        <f>'[10]CNG Table A'!$E$44</f>
        <v>200000</v>
      </c>
      <c r="J44" s="178">
        <f>'[10]SCG Table A'!$E$44</f>
        <v>200000.4</v>
      </c>
      <c r="K44" s="178">
        <f t="shared" si="28"/>
        <v>600000.4</v>
      </c>
      <c r="L44" s="178">
        <f>'ES CT Gas Table A'!I40</f>
        <v>300000</v>
      </c>
      <c r="M44" s="178">
        <f>'[10]CNG Table A'!$G$44</f>
        <v>300000</v>
      </c>
      <c r="N44" s="178">
        <f>'[10]SCG Table A'!$G$44</f>
        <v>300000</v>
      </c>
      <c r="O44" s="178">
        <f t="shared" si="29"/>
        <v>900000</v>
      </c>
      <c r="P44" s="178">
        <f>'ES CT Gas Table A'!L40</f>
        <v>300000</v>
      </c>
      <c r="Q44" s="178">
        <f>'[11]CNG Table A'!J44</f>
        <v>300000</v>
      </c>
      <c r="R44" s="178">
        <f>'[11]SCG Table A'!J44</f>
        <v>300000</v>
      </c>
      <c r="S44" s="178">
        <f t="shared" si="30"/>
        <v>900000</v>
      </c>
      <c r="T44" s="178">
        <f>'ES CT Gas Table A'!N40</f>
        <v>300000</v>
      </c>
      <c r="U44" s="178">
        <f>'[11]CNG Table A'!M44</f>
        <v>300000</v>
      </c>
      <c r="V44" s="178">
        <f>'[11]SCG Table A'!M44</f>
        <v>300000</v>
      </c>
      <c r="W44" s="178">
        <f t="shared" si="31"/>
        <v>900000</v>
      </c>
      <c r="X44" s="178">
        <f>'ES CT Gas Table A'!O40</f>
        <v>300000</v>
      </c>
      <c r="Y44" s="178">
        <f>'[11]CNG Table A'!N44</f>
        <v>300000</v>
      </c>
      <c r="Z44" s="178">
        <f>'[11]SCG Table A'!N44</f>
        <v>300000</v>
      </c>
      <c r="AA44" s="178">
        <f t="shared" si="32"/>
        <v>900000</v>
      </c>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c r="BC44" s="11"/>
      <c r="BD44" s="11"/>
      <c r="BE44" s="11"/>
      <c r="BF44" s="11"/>
      <c r="BG44" s="11"/>
      <c r="BH44" s="11"/>
      <c r="BI44" s="11"/>
      <c r="BJ44" s="11"/>
      <c r="BK44" s="11"/>
      <c r="BL44" s="11"/>
      <c r="BM44" s="11"/>
      <c r="BN44" s="11"/>
      <c r="BO44" s="11"/>
      <c r="BP44" s="11"/>
      <c r="BQ44" s="11"/>
      <c r="BR44" s="11"/>
      <c r="BS44" s="11"/>
      <c r="BT44" s="11"/>
      <c r="BU44" s="11"/>
      <c r="BV44" s="11"/>
      <c r="BW44" s="11"/>
      <c r="BX44" s="11"/>
      <c r="BY44" s="11"/>
      <c r="BZ44" s="11"/>
      <c r="CA44" s="11"/>
      <c r="CB44" s="11"/>
      <c r="CC44" s="11"/>
      <c r="CD44" s="11"/>
      <c r="CE44" s="11"/>
      <c r="CF44" s="11"/>
      <c r="CG44" s="11"/>
      <c r="CH44" s="11"/>
      <c r="CI44" s="11"/>
      <c r="CJ44" s="11"/>
      <c r="CK44" s="11"/>
      <c r="CL44" s="11"/>
      <c r="CM44" s="11"/>
      <c r="CN44" s="11"/>
      <c r="CO44" s="11"/>
      <c r="CP44" s="11"/>
      <c r="CQ44" s="11"/>
      <c r="CR44" s="11"/>
      <c r="CS44" s="11"/>
      <c r="CT44" s="11"/>
      <c r="CU44" s="11"/>
      <c r="CV44" s="11"/>
      <c r="CW44" s="11"/>
      <c r="CX44" s="11"/>
      <c r="CY44" s="11"/>
      <c r="CZ44" s="11"/>
      <c r="DA44" s="11"/>
      <c r="DB44" s="11"/>
      <c r="DC44" s="11"/>
      <c r="DD44" s="11"/>
      <c r="DE44" s="11"/>
      <c r="DF44" s="11"/>
      <c r="DG44" s="11"/>
      <c r="DH44" s="11"/>
      <c r="DI44" s="11"/>
      <c r="DJ44" s="11"/>
      <c r="DK44" s="11"/>
      <c r="DL44" s="11"/>
      <c r="DM44" s="11"/>
      <c r="DN44" s="11"/>
      <c r="DO44" s="11"/>
      <c r="DP44" s="11"/>
      <c r="DQ44" s="11"/>
      <c r="DR44" s="11"/>
      <c r="DS44" s="11"/>
      <c r="DT44" s="11"/>
      <c r="DU44" s="11"/>
      <c r="DV44" s="11"/>
      <c r="DW44" s="11"/>
      <c r="DX44" s="11"/>
      <c r="DY44" s="11"/>
      <c r="DZ44" s="11"/>
      <c r="EA44" s="11"/>
      <c r="EB44" s="11"/>
      <c r="EC44" s="11"/>
      <c r="ED44" s="11"/>
      <c r="EE44" s="11"/>
      <c r="EF44" s="11"/>
      <c r="EG44" s="11"/>
      <c r="EH44" s="11"/>
      <c r="EI44" s="11"/>
      <c r="EJ44" s="11"/>
      <c r="EK44" s="11"/>
      <c r="EL44" s="11"/>
      <c r="EM44" s="11"/>
      <c r="EN44" s="11"/>
      <c r="EO44" s="11"/>
      <c r="EP44" s="11"/>
      <c r="EQ44" s="11"/>
      <c r="ER44" s="11"/>
      <c r="ES44" s="11"/>
      <c r="ET44" s="11"/>
      <c r="EU44" s="11"/>
      <c r="EV44" s="11"/>
      <c r="EW44" s="11"/>
      <c r="EX44" s="11"/>
      <c r="EY44" s="11"/>
      <c r="EZ44" s="11"/>
      <c r="FA44" s="11"/>
      <c r="FB44" s="11"/>
      <c r="FC44" s="11"/>
      <c r="FD44" s="11"/>
      <c r="FE44" s="11"/>
      <c r="FF44" s="11"/>
      <c r="FG44" s="11"/>
      <c r="FH44" s="11"/>
      <c r="FI44" s="11"/>
      <c r="FJ44" s="11"/>
      <c r="FK44" s="11"/>
      <c r="FL44" s="11"/>
      <c r="FM44" s="11"/>
      <c r="FN44" s="11"/>
      <c r="FO44" s="11"/>
      <c r="FP44" s="11"/>
      <c r="FQ44" s="11"/>
      <c r="FR44" s="11"/>
      <c r="FS44" s="11"/>
      <c r="FT44" s="11"/>
      <c r="FU44" s="11"/>
      <c r="FV44" s="11"/>
      <c r="FW44" s="11"/>
      <c r="FX44" s="11"/>
      <c r="FY44" s="11"/>
      <c r="FZ44" s="11"/>
      <c r="GA44" s="11"/>
      <c r="GB44" s="11"/>
      <c r="GC44" s="11"/>
      <c r="GD44" s="11"/>
      <c r="GE44" s="11"/>
      <c r="GF44" s="11"/>
      <c r="GG44" s="11"/>
      <c r="GH44" s="11"/>
      <c r="GI44" s="11"/>
      <c r="GJ44" s="11"/>
      <c r="GK44" s="11"/>
      <c r="GL44" s="11"/>
      <c r="GM44" s="11"/>
      <c r="GN44" s="11"/>
      <c r="GO44" s="11"/>
      <c r="GP44" s="11"/>
      <c r="GQ44" s="11"/>
      <c r="GR44" s="11"/>
      <c r="GS44" s="11"/>
      <c r="GT44" s="11"/>
      <c r="GU44" s="11"/>
      <c r="GV44" s="11"/>
      <c r="GW44" s="11"/>
      <c r="GX44" s="11"/>
      <c r="GY44" s="11"/>
      <c r="GZ44" s="11"/>
      <c r="HA44" s="11"/>
      <c r="HB44" s="11"/>
      <c r="HC44" s="11"/>
      <c r="HD44" s="11"/>
      <c r="HE44" s="11"/>
      <c r="HF44" s="11"/>
      <c r="HG44" s="11"/>
      <c r="HH44" s="11"/>
      <c r="HI44" s="11"/>
      <c r="HJ44" s="11"/>
      <c r="HK44" s="11"/>
      <c r="HL44" s="11"/>
      <c r="HM44" s="11"/>
      <c r="HN44" s="11"/>
      <c r="HO44" s="11"/>
      <c r="HP44" s="11"/>
      <c r="HQ44" s="11"/>
      <c r="HR44" s="11"/>
      <c r="HS44" s="11"/>
      <c r="HT44" s="11"/>
      <c r="HU44" s="11"/>
      <c r="HV44" s="11"/>
      <c r="HW44" s="11"/>
      <c r="HX44" s="11"/>
      <c r="HY44" s="11"/>
      <c r="HZ44" s="11"/>
      <c r="IA44" s="11"/>
      <c r="IB44" s="11"/>
      <c r="IC44" s="11"/>
      <c r="ID44" s="11"/>
      <c r="IE44" s="11"/>
    </row>
    <row r="45" spans="1:239" ht="18.75" thickBot="1" x14ac:dyDescent="0.3">
      <c r="A45" s="38" t="s">
        <v>4</v>
      </c>
      <c r="B45" s="193"/>
      <c r="C45" s="181" t="s">
        <v>147</v>
      </c>
      <c r="D45" s="178">
        <f>'ES CT Gas Table A'!D41</f>
        <v>25797.72</v>
      </c>
      <c r="E45" s="178">
        <f>'[9]CNG Table A'!$I$49</f>
        <v>21866</v>
      </c>
      <c r="F45" s="178">
        <f>'[9]SCG Table A'!$I$49</f>
        <v>21865.359999999993</v>
      </c>
      <c r="G45" s="178">
        <f t="shared" si="27"/>
        <v>69529.079999999987</v>
      </c>
      <c r="H45" s="178">
        <f>'ES CT Gas Table A'!F41</f>
        <v>28548</v>
      </c>
      <c r="I45" s="178">
        <f>'[10]CNG Table A'!$E$45</f>
        <v>21931</v>
      </c>
      <c r="J45" s="178">
        <f>'[10]SCG Table A'!$E$45</f>
        <v>21931</v>
      </c>
      <c r="K45" s="178">
        <f t="shared" si="28"/>
        <v>72410</v>
      </c>
      <c r="L45" s="178">
        <f>'ES CT Gas Table A'!I41</f>
        <v>29607</v>
      </c>
      <c r="M45" s="178">
        <f>'[10]CNG Table A'!$G$45</f>
        <v>29607</v>
      </c>
      <c r="N45" s="178">
        <f>'[10]SCG Table A'!$G$45</f>
        <v>29607</v>
      </c>
      <c r="O45" s="178">
        <f t="shared" si="29"/>
        <v>88821</v>
      </c>
      <c r="P45" s="178">
        <f>'ES CT Gas Table A'!L41</f>
        <v>29607</v>
      </c>
      <c r="Q45" s="178">
        <f>'[11]CNG Table A'!J45</f>
        <v>29607</v>
      </c>
      <c r="R45" s="178">
        <f>'[11]SCG Table A'!J45</f>
        <v>29607</v>
      </c>
      <c r="S45" s="178">
        <f t="shared" si="30"/>
        <v>88821</v>
      </c>
      <c r="T45" s="178">
        <f>'ES CT Gas Table A'!N41</f>
        <v>29607</v>
      </c>
      <c r="U45" s="178">
        <f>'[11]CNG Table A'!M45</f>
        <v>29607</v>
      </c>
      <c r="V45" s="178">
        <f>'[11]SCG Table A'!M45</f>
        <v>29607</v>
      </c>
      <c r="W45" s="178">
        <f t="shared" si="31"/>
        <v>88821</v>
      </c>
      <c r="X45" s="178">
        <f>'ES CT Gas Table A'!O41</f>
        <v>29607</v>
      </c>
      <c r="Y45" s="178">
        <f>'[11]CNG Table A'!N45</f>
        <v>29607</v>
      </c>
      <c r="Z45" s="178">
        <f>'[11]SCG Table A'!N45</f>
        <v>29607</v>
      </c>
      <c r="AA45" s="178">
        <f t="shared" si="32"/>
        <v>88821</v>
      </c>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1"/>
      <c r="BD45" s="11"/>
      <c r="BE45" s="11"/>
      <c r="BF45" s="11"/>
      <c r="BG45" s="11"/>
      <c r="BH45" s="11"/>
      <c r="BI45" s="11"/>
      <c r="BJ45" s="11"/>
      <c r="BK45" s="11"/>
      <c r="BL45" s="11"/>
      <c r="BM45" s="11"/>
      <c r="BN45" s="11"/>
      <c r="BO45" s="11"/>
      <c r="BP45" s="11"/>
      <c r="BQ45" s="11"/>
      <c r="BR45" s="11"/>
      <c r="BS45" s="11"/>
      <c r="BT45" s="11"/>
      <c r="BU45" s="11"/>
      <c r="BV45" s="11"/>
      <c r="BW45" s="11"/>
      <c r="BX45" s="11"/>
      <c r="BY45" s="11"/>
      <c r="BZ45" s="11"/>
      <c r="CA45" s="11"/>
      <c r="CB45" s="11"/>
      <c r="CC45" s="11"/>
      <c r="CD45" s="11"/>
      <c r="CE45" s="11"/>
      <c r="CF45" s="11"/>
      <c r="CG45" s="11"/>
      <c r="CH45" s="11"/>
      <c r="CI45" s="11"/>
      <c r="CJ45" s="11"/>
      <c r="CK45" s="11"/>
      <c r="CL45" s="11"/>
      <c r="CM45" s="11"/>
      <c r="CN45" s="11"/>
      <c r="CO45" s="11"/>
      <c r="CP45" s="11"/>
      <c r="CQ45" s="11"/>
      <c r="CR45" s="11"/>
      <c r="CS45" s="11"/>
      <c r="CT45" s="11"/>
      <c r="CU45" s="11"/>
      <c r="CV45" s="11"/>
      <c r="CW45" s="11"/>
      <c r="CX45" s="11"/>
      <c r="CY45" s="11"/>
      <c r="CZ45" s="11"/>
      <c r="DA45" s="11"/>
      <c r="DB45" s="11"/>
      <c r="DC45" s="11"/>
      <c r="DD45" s="11"/>
      <c r="DE45" s="11"/>
      <c r="DF45" s="11"/>
      <c r="DG45" s="11"/>
      <c r="DH45" s="11"/>
      <c r="DI45" s="11"/>
      <c r="DJ45" s="11"/>
      <c r="DK45" s="11"/>
      <c r="DL45" s="11"/>
      <c r="DM45" s="11"/>
      <c r="DN45" s="11"/>
      <c r="DO45" s="11"/>
      <c r="DP45" s="11"/>
      <c r="DQ45" s="11"/>
      <c r="DR45" s="11"/>
      <c r="DS45" s="11"/>
      <c r="DT45" s="11"/>
      <c r="DU45" s="11"/>
      <c r="DV45" s="11"/>
      <c r="DW45" s="11"/>
      <c r="DX45" s="11"/>
      <c r="DY45" s="11"/>
      <c r="DZ45" s="11"/>
      <c r="EA45" s="11"/>
      <c r="EB45" s="11"/>
      <c r="EC45" s="11"/>
      <c r="ED45" s="11"/>
      <c r="EE45" s="11"/>
      <c r="EF45" s="11"/>
      <c r="EG45" s="11"/>
      <c r="EH45" s="11"/>
      <c r="EI45" s="11"/>
      <c r="EJ45" s="11"/>
      <c r="EK45" s="11"/>
      <c r="EL45" s="11"/>
      <c r="EM45" s="11"/>
      <c r="EN45" s="11"/>
      <c r="EO45" s="11"/>
      <c r="EP45" s="11"/>
      <c r="EQ45" s="11"/>
      <c r="ER45" s="11"/>
      <c r="ES45" s="11"/>
      <c r="ET45" s="11"/>
      <c r="EU45" s="11"/>
      <c r="EV45" s="11"/>
      <c r="EW45" s="11"/>
      <c r="EX45" s="11"/>
      <c r="EY45" s="11"/>
      <c r="EZ45" s="11"/>
      <c r="FA45" s="11"/>
      <c r="FB45" s="11"/>
      <c r="FC45" s="11"/>
      <c r="FD45" s="11"/>
      <c r="FE45" s="11"/>
      <c r="FF45" s="11"/>
      <c r="FG45" s="11"/>
      <c r="FH45" s="11"/>
      <c r="FI45" s="11"/>
      <c r="FJ45" s="11"/>
      <c r="FK45" s="11"/>
      <c r="FL45" s="11"/>
      <c r="FM45" s="11"/>
      <c r="FN45" s="11"/>
      <c r="FO45" s="11"/>
      <c r="FP45" s="11"/>
      <c r="FQ45" s="11"/>
      <c r="FR45" s="11"/>
      <c r="FS45" s="11"/>
      <c r="FT45" s="11"/>
      <c r="FU45" s="11"/>
      <c r="FV45" s="11"/>
      <c r="FW45" s="11"/>
      <c r="FX45" s="11"/>
      <c r="FY45" s="11"/>
      <c r="FZ45" s="11"/>
      <c r="GA45" s="11"/>
      <c r="GB45" s="11"/>
      <c r="GC45" s="11"/>
      <c r="GD45" s="11"/>
      <c r="GE45" s="11"/>
      <c r="GF45" s="11"/>
      <c r="GG45" s="11"/>
      <c r="GH45" s="11"/>
      <c r="GI45" s="11"/>
      <c r="GJ45" s="11"/>
      <c r="GK45" s="11"/>
      <c r="GL45" s="11"/>
      <c r="GM45" s="11"/>
      <c r="GN45" s="11"/>
      <c r="GO45" s="11"/>
      <c r="GP45" s="11"/>
      <c r="GQ45" s="11"/>
      <c r="GR45" s="11"/>
      <c r="GS45" s="11"/>
      <c r="GT45" s="11"/>
      <c r="GU45" s="11"/>
      <c r="GV45" s="11"/>
      <c r="GW45" s="11"/>
      <c r="GX45" s="11"/>
      <c r="GY45" s="11"/>
      <c r="GZ45" s="11"/>
      <c r="HA45" s="11"/>
      <c r="HB45" s="11"/>
      <c r="HC45" s="11"/>
      <c r="HD45" s="11"/>
      <c r="HE45" s="11"/>
      <c r="HF45" s="11"/>
      <c r="HG45" s="11"/>
      <c r="HH45" s="11"/>
      <c r="HI45" s="11"/>
      <c r="HJ45" s="11"/>
      <c r="HK45" s="11"/>
      <c r="HL45" s="11"/>
      <c r="HM45" s="11"/>
      <c r="HN45" s="11"/>
      <c r="HO45" s="11"/>
      <c r="HP45" s="11"/>
      <c r="HQ45" s="11"/>
      <c r="HR45" s="11"/>
      <c r="HS45" s="11"/>
      <c r="HT45" s="11"/>
      <c r="HU45" s="11"/>
      <c r="HV45" s="11"/>
      <c r="HW45" s="11"/>
      <c r="HX45" s="11"/>
      <c r="HY45" s="11"/>
      <c r="HZ45" s="11"/>
      <c r="IA45" s="11"/>
      <c r="IB45" s="11"/>
      <c r="IC45" s="11"/>
      <c r="ID45" s="11"/>
      <c r="IE45" s="11"/>
    </row>
    <row r="46" spans="1:239" ht="18.75" thickBot="1" x14ac:dyDescent="0.3">
      <c r="A46" s="6" t="s">
        <v>4</v>
      </c>
      <c r="B46" s="193"/>
      <c r="C46" s="181" t="s">
        <v>15</v>
      </c>
      <c r="D46" s="178">
        <f>'ES CT Gas Table A'!D42</f>
        <v>122355.67</v>
      </c>
      <c r="E46" s="178">
        <f>'[9]CNG Table A'!$I$50</f>
        <v>97801.999999999985</v>
      </c>
      <c r="F46" s="178">
        <f>'[9]SCG Table A'!$I$50</f>
        <v>78797.070000000007</v>
      </c>
      <c r="G46" s="178">
        <f t="shared" si="27"/>
        <v>298954.74</v>
      </c>
      <c r="H46" s="178">
        <f>'ES CT Gas Table A'!F42</f>
        <v>178639</v>
      </c>
      <c r="I46" s="178">
        <f>'[10]CNG Table A'!$E$46</f>
        <v>339848.49</v>
      </c>
      <c r="J46" s="178">
        <f>'[10]SCG Table A'!$E$46</f>
        <v>328131</v>
      </c>
      <c r="K46" s="178">
        <f t="shared" si="28"/>
        <v>846618.49</v>
      </c>
      <c r="L46" s="178">
        <f>'ES CT Gas Table A'!I42</f>
        <v>140725.87018874299</v>
      </c>
      <c r="M46" s="178">
        <f>'[10]CNG Table A'!$G$46</f>
        <v>584821.74549999996</v>
      </c>
      <c r="N46" s="178">
        <f>'[10]SCG Table A'!$G$46</f>
        <v>609473</v>
      </c>
      <c r="O46" s="178">
        <f t="shared" si="29"/>
        <v>1335020.6156887431</v>
      </c>
      <c r="P46" s="178">
        <f>'ES CT Gas Table A'!L42</f>
        <v>140725.87018874299</v>
      </c>
      <c r="Q46" s="178">
        <f>'[11]CNG Table A'!J46</f>
        <v>284821.74550000002</v>
      </c>
      <c r="R46" s="178">
        <f>'[11]SCG Table A'!J46</f>
        <v>332473</v>
      </c>
      <c r="S46" s="178">
        <f t="shared" si="30"/>
        <v>758020.61568874307</v>
      </c>
      <c r="T46" s="178">
        <f>'ES CT Gas Table A'!N42</f>
        <v>140725.87018874279</v>
      </c>
      <c r="U46" s="178">
        <f>'[11]CNG Table A'!M46</f>
        <v>260821.74549999999</v>
      </c>
      <c r="V46" s="178">
        <f>'[11]SCG Table A'!M46</f>
        <v>310473</v>
      </c>
      <c r="W46" s="178">
        <f t="shared" si="31"/>
        <v>712020.61568874284</v>
      </c>
      <c r="X46" s="178">
        <f>'ES CT Gas Table A'!O42</f>
        <v>140725.87018874279</v>
      </c>
      <c r="Y46" s="178">
        <f>'[11]CNG Table A'!N46</f>
        <v>260821.74549999999</v>
      </c>
      <c r="Z46" s="178">
        <f>'[11]SCG Table A'!N46</f>
        <v>310473</v>
      </c>
      <c r="AA46" s="178">
        <f t="shared" si="32"/>
        <v>712020.61568874284</v>
      </c>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11"/>
      <c r="BB46" s="11"/>
      <c r="BC46" s="11"/>
      <c r="BD46" s="11"/>
      <c r="BE46" s="11"/>
      <c r="BF46" s="11"/>
      <c r="BG46" s="11"/>
      <c r="BH46" s="11"/>
      <c r="BI46" s="11"/>
      <c r="BJ46" s="11"/>
      <c r="BK46" s="11"/>
      <c r="BL46" s="11"/>
      <c r="BM46" s="11"/>
      <c r="BN46" s="11"/>
      <c r="BO46" s="11"/>
      <c r="BP46" s="11"/>
      <c r="BQ46" s="11"/>
      <c r="BR46" s="11"/>
      <c r="BS46" s="11"/>
      <c r="BT46" s="11"/>
      <c r="BU46" s="11"/>
      <c r="BV46" s="11"/>
      <c r="BW46" s="11"/>
      <c r="BX46" s="11"/>
      <c r="BY46" s="11"/>
      <c r="BZ46" s="11"/>
      <c r="CA46" s="11"/>
      <c r="CB46" s="11"/>
      <c r="CC46" s="11"/>
      <c r="CD46" s="11"/>
      <c r="CE46" s="11"/>
      <c r="CF46" s="11"/>
      <c r="CG46" s="11"/>
      <c r="CH46" s="11"/>
      <c r="CI46" s="11"/>
      <c r="CJ46" s="11"/>
      <c r="CK46" s="11"/>
      <c r="CL46" s="11"/>
      <c r="CM46" s="11"/>
      <c r="CN46" s="11"/>
      <c r="CO46" s="11"/>
      <c r="CP46" s="11"/>
      <c r="CQ46" s="11"/>
      <c r="CR46" s="11"/>
      <c r="CS46" s="11"/>
      <c r="CT46" s="11"/>
      <c r="CU46" s="11"/>
      <c r="CV46" s="11"/>
      <c r="CW46" s="11"/>
      <c r="CX46" s="11"/>
      <c r="CY46" s="11"/>
      <c r="CZ46" s="11"/>
      <c r="DA46" s="11"/>
      <c r="DB46" s="11"/>
      <c r="DC46" s="11"/>
      <c r="DD46" s="11"/>
      <c r="DE46" s="11"/>
      <c r="DF46" s="11"/>
      <c r="DG46" s="11"/>
      <c r="DH46" s="11"/>
      <c r="DI46" s="11"/>
      <c r="DJ46" s="11"/>
      <c r="DK46" s="11"/>
      <c r="DL46" s="11"/>
      <c r="DM46" s="11"/>
      <c r="DN46" s="11"/>
      <c r="DO46" s="11"/>
      <c r="DP46" s="11"/>
      <c r="DQ46" s="11"/>
      <c r="DR46" s="11"/>
      <c r="DS46" s="11"/>
      <c r="DT46" s="11"/>
      <c r="DU46" s="11"/>
      <c r="DV46" s="11"/>
      <c r="DW46" s="11"/>
      <c r="DX46" s="11"/>
      <c r="DY46" s="11"/>
      <c r="DZ46" s="11"/>
      <c r="EA46" s="11"/>
      <c r="EB46" s="11"/>
      <c r="EC46" s="11"/>
      <c r="ED46" s="11"/>
      <c r="EE46" s="11"/>
      <c r="EF46" s="11"/>
      <c r="EG46" s="11"/>
      <c r="EH46" s="11"/>
      <c r="EI46" s="11"/>
      <c r="EJ46" s="11"/>
      <c r="EK46" s="11"/>
      <c r="EL46" s="11"/>
      <c r="EM46" s="11"/>
      <c r="EN46" s="11"/>
      <c r="EO46" s="11"/>
      <c r="EP46" s="11"/>
      <c r="EQ46" s="11"/>
      <c r="ER46" s="11"/>
      <c r="ES46" s="11"/>
      <c r="ET46" s="11"/>
      <c r="EU46" s="11"/>
      <c r="EV46" s="11"/>
      <c r="EW46" s="11"/>
      <c r="EX46" s="11"/>
      <c r="EY46" s="11"/>
      <c r="EZ46" s="11"/>
      <c r="FA46" s="11"/>
      <c r="FB46" s="11"/>
      <c r="FC46" s="11"/>
      <c r="FD46" s="11"/>
      <c r="FE46" s="11"/>
      <c r="FF46" s="11"/>
      <c r="FG46" s="11"/>
      <c r="FH46" s="11"/>
      <c r="FI46" s="11"/>
      <c r="FJ46" s="11"/>
      <c r="FK46" s="11"/>
      <c r="FL46" s="11"/>
      <c r="FM46" s="11"/>
      <c r="FN46" s="11"/>
      <c r="FO46" s="11"/>
      <c r="FP46" s="11"/>
      <c r="FQ46" s="11"/>
      <c r="FR46" s="11"/>
      <c r="FS46" s="11"/>
      <c r="FT46" s="11"/>
      <c r="FU46" s="11"/>
      <c r="FV46" s="11"/>
      <c r="FW46" s="11"/>
      <c r="FX46" s="11"/>
      <c r="FY46" s="11"/>
      <c r="FZ46" s="11"/>
      <c r="GA46" s="11"/>
      <c r="GB46" s="11"/>
      <c r="GC46" s="11"/>
      <c r="GD46" s="11"/>
      <c r="GE46" s="11"/>
      <c r="GF46" s="11"/>
      <c r="GG46" s="11"/>
      <c r="GH46" s="11"/>
      <c r="GI46" s="11"/>
      <c r="GJ46" s="11"/>
      <c r="GK46" s="11"/>
      <c r="GL46" s="11"/>
      <c r="GM46" s="11"/>
      <c r="GN46" s="11"/>
      <c r="GO46" s="11"/>
      <c r="GP46" s="11"/>
      <c r="GQ46" s="11"/>
      <c r="GR46" s="11"/>
      <c r="GS46" s="11"/>
      <c r="GT46" s="11"/>
      <c r="GU46" s="11"/>
      <c r="GV46" s="11"/>
      <c r="GW46" s="11"/>
      <c r="GX46" s="11"/>
      <c r="GY46" s="11"/>
      <c r="GZ46" s="11"/>
      <c r="HA46" s="11"/>
      <c r="HB46" s="11"/>
      <c r="HC46" s="11"/>
      <c r="HD46" s="11"/>
      <c r="HE46" s="11"/>
      <c r="HF46" s="11"/>
      <c r="HG46" s="11"/>
      <c r="HH46" s="11"/>
      <c r="HI46" s="11"/>
      <c r="HJ46" s="11"/>
      <c r="HK46" s="11"/>
      <c r="HL46" s="11"/>
      <c r="HM46" s="11"/>
      <c r="HN46" s="11"/>
      <c r="HO46" s="11"/>
      <c r="HP46" s="11"/>
      <c r="HQ46" s="11"/>
      <c r="HR46" s="11"/>
      <c r="HS46" s="11"/>
      <c r="HT46" s="11"/>
      <c r="HU46" s="11"/>
      <c r="HV46" s="11"/>
      <c r="HW46" s="11"/>
      <c r="HX46" s="11"/>
      <c r="HY46" s="11"/>
      <c r="HZ46" s="11"/>
      <c r="IA46" s="11"/>
      <c r="IB46" s="11"/>
      <c r="IC46" s="11"/>
      <c r="ID46" s="11"/>
      <c r="IE46" s="11"/>
    </row>
    <row r="47" spans="1:239" ht="18.75" thickBot="1" x14ac:dyDescent="0.3">
      <c r="A47" s="6" t="s">
        <v>4</v>
      </c>
      <c r="B47" s="193"/>
      <c r="C47" s="181" t="s">
        <v>148</v>
      </c>
      <c r="D47" s="178">
        <f>'ES CT Gas Table A'!D43</f>
        <v>44501</v>
      </c>
      <c r="E47" s="178">
        <f>'[9]CNG Table A'!$I$51</f>
        <v>43332.84</v>
      </c>
      <c r="F47" s="178">
        <f>'[9]SCG Table A'!$I$51</f>
        <v>43333.08</v>
      </c>
      <c r="G47" s="178">
        <f t="shared" si="27"/>
        <v>131166.91999999998</v>
      </c>
      <c r="H47" s="178">
        <f>'ES CT Gas Table A'!F43</f>
        <v>41913</v>
      </c>
      <c r="I47" s="178">
        <f>'[10]CNG Table A'!$E$47</f>
        <v>43333</v>
      </c>
      <c r="J47" s="178">
        <f>'[10]SCG Table A'!$E$47</f>
        <v>43333</v>
      </c>
      <c r="K47" s="178">
        <f t="shared" si="28"/>
        <v>128579</v>
      </c>
      <c r="L47" s="178">
        <f>'ES CT Gas Table A'!I43</f>
        <v>53333</v>
      </c>
      <c r="M47" s="178">
        <f>'[10]CNG Table A'!$G$47</f>
        <v>53333</v>
      </c>
      <c r="N47" s="178">
        <f>'[10]SCG Table A'!$G$47</f>
        <v>53333</v>
      </c>
      <c r="O47" s="178">
        <f t="shared" si="29"/>
        <v>159999</v>
      </c>
      <c r="P47" s="178">
        <f>'ES CT Gas Table A'!L43</f>
        <v>53333</v>
      </c>
      <c r="Q47" s="178">
        <f>'[11]CNG Table A'!J47</f>
        <v>53333</v>
      </c>
      <c r="R47" s="178">
        <f>'[11]SCG Table A'!J47</f>
        <v>53333</v>
      </c>
      <c r="S47" s="178">
        <f t="shared" si="30"/>
        <v>159999</v>
      </c>
      <c r="T47" s="178">
        <f>'ES CT Gas Table A'!N43</f>
        <v>53333</v>
      </c>
      <c r="U47" s="178">
        <f>'[11]CNG Table A'!M47</f>
        <v>53333</v>
      </c>
      <c r="V47" s="178">
        <f>'[11]SCG Table A'!M47</f>
        <v>53333</v>
      </c>
      <c r="W47" s="178">
        <f t="shared" si="31"/>
        <v>159999</v>
      </c>
      <c r="X47" s="178">
        <f>'ES CT Gas Table A'!O43</f>
        <v>53333</v>
      </c>
      <c r="Y47" s="178">
        <f>'[11]CNG Table A'!N47</f>
        <v>53333</v>
      </c>
      <c r="Z47" s="178">
        <f>'[11]SCG Table A'!N47</f>
        <v>53333</v>
      </c>
      <c r="AA47" s="178">
        <f t="shared" si="32"/>
        <v>159999</v>
      </c>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11"/>
      <c r="BA47" s="11"/>
      <c r="BB47" s="11"/>
      <c r="BC47" s="11"/>
      <c r="BD47" s="11"/>
      <c r="BE47" s="11"/>
      <c r="BF47" s="11"/>
      <c r="BG47" s="11"/>
      <c r="BH47" s="11"/>
      <c r="BI47" s="11"/>
      <c r="BJ47" s="11"/>
      <c r="BK47" s="11"/>
      <c r="BL47" s="11"/>
      <c r="BM47" s="11"/>
      <c r="BN47" s="11"/>
      <c r="BO47" s="11"/>
      <c r="BP47" s="11"/>
      <c r="BQ47" s="11"/>
      <c r="BR47" s="11"/>
      <c r="BS47" s="11"/>
      <c r="BT47" s="11"/>
      <c r="BU47" s="11"/>
      <c r="BV47" s="11"/>
      <c r="BW47" s="11"/>
      <c r="BX47" s="11"/>
      <c r="BY47" s="11"/>
      <c r="BZ47" s="11"/>
      <c r="CA47" s="11"/>
      <c r="CB47" s="11"/>
      <c r="CC47" s="11"/>
      <c r="CD47" s="11"/>
      <c r="CE47" s="11"/>
      <c r="CF47" s="11"/>
      <c r="CG47" s="11"/>
      <c r="CH47" s="11"/>
      <c r="CI47" s="11"/>
      <c r="CJ47" s="11"/>
      <c r="CK47" s="11"/>
      <c r="CL47" s="11"/>
      <c r="CM47" s="11"/>
      <c r="CN47" s="11"/>
      <c r="CO47" s="11"/>
      <c r="CP47" s="11"/>
      <c r="CQ47" s="11"/>
      <c r="CR47" s="11"/>
      <c r="CS47" s="11"/>
      <c r="CT47" s="11"/>
      <c r="CU47" s="11"/>
      <c r="CV47" s="11"/>
      <c r="CW47" s="11"/>
      <c r="CX47" s="11"/>
      <c r="CY47" s="11"/>
      <c r="CZ47" s="11"/>
      <c r="DA47" s="11"/>
      <c r="DB47" s="11"/>
      <c r="DC47" s="11"/>
      <c r="DD47" s="11"/>
      <c r="DE47" s="11"/>
      <c r="DF47" s="11"/>
      <c r="DG47" s="11"/>
      <c r="DH47" s="11"/>
      <c r="DI47" s="11"/>
      <c r="DJ47" s="11"/>
      <c r="DK47" s="11"/>
      <c r="DL47" s="11"/>
      <c r="DM47" s="11"/>
      <c r="DN47" s="11"/>
      <c r="DO47" s="11"/>
      <c r="DP47" s="11"/>
      <c r="DQ47" s="11"/>
      <c r="DR47" s="11"/>
      <c r="DS47" s="11"/>
      <c r="DT47" s="11"/>
      <c r="DU47" s="11"/>
      <c r="DV47" s="11"/>
      <c r="DW47" s="11"/>
      <c r="DX47" s="11"/>
      <c r="DY47" s="11"/>
      <c r="DZ47" s="11"/>
      <c r="EA47" s="11"/>
      <c r="EB47" s="11"/>
      <c r="EC47" s="11"/>
      <c r="ED47" s="11"/>
      <c r="EE47" s="11"/>
      <c r="EF47" s="11"/>
      <c r="EG47" s="11"/>
      <c r="EH47" s="11"/>
      <c r="EI47" s="11"/>
      <c r="EJ47" s="11"/>
      <c r="EK47" s="11"/>
      <c r="EL47" s="11"/>
      <c r="EM47" s="11"/>
      <c r="EN47" s="11"/>
      <c r="EO47" s="11"/>
      <c r="EP47" s="11"/>
      <c r="EQ47" s="11"/>
      <c r="ER47" s="11"/>
      <c r="ES47" s="11"/>
      <c r="ET47" s="11"/>
      <c r="EU47" s="11"/>
      <c r="EV47" s="11"/>
      <c r="EW47" s="11"/>
      <c r="EX47" s="11"/>
      <c r="EY47" s="11"/>
      <c r="EZ47" s="11"/>
      <c r="FA47" s="11"/>
      <c r="FB47" s="11"/>
      <c r="FC47" s="11"/>
      <c r="FD47" s="11"/>
      <c r="FE47" s="11"/>
      <c r="FF47" s="11"/>
      <c r="FG47" s="11"/>
      <c r="FH47" s="11"/>
      <c r="FI47" s="11"/>
      <c r="FJ47" s="11"/>
      <c r="FK47" s="11"/>
      <c r="FL47" s="11"/>
      <c r="FM47" s="11"/>
      <c r="FN47" s="11"/>
      <c r="FO47" s="11"/>
      <c r="FP47" s="11"/>
      <c r="FQ47" s="11"/>
      <c r="FR47" s="11"/>
      <c r="FS47" s="11"/>
      <c r="FT47" s="11"/>
      <c r="FU47" s="11"/>
      <c r="FV47" s="11"/>
      <c r="FW47" s="11"/>
      <c r="FX47" s="11"/>
      <c r="FY47" s="11"/>
      <c r="FZ47" s="11"/>
      <c r="GA47" s="11"/>
      <c r="GB47" s="11"/>
      <c r="GC47" s="11"/>
      <c r="GD47" s="11"/>
      <c r="GE47" s="11"/>
      <c r="GF47" s="11"/>
      <c r="GG47" s="11"/>
      <c r="GH47" s="11"/>
      <c r="GI47" s="11"/>
      <c r="GJ47" s="11"/>
      <c r="GK47" s="11"/>
      <c r="GL47" s="11"/>
      <c r="GM47" s="11"/>
      <c r="GN47" s="11"/>
      <c r="GO47" s="11"/>
      <c r="GP47" s="11"/>
      <c r="GQ47" s="11"/>
      <c r="GR47" s="11"/>
      <c r="GS47" s="11"/>
      <c r="GT47" s="11"/>
      <c r="GU47" s="11"/>
      <c r="GV47" s="11"/>
      <c r="GW47" s="11"/>
      <c r="GX47" s="11"/>
      <c r="GY47" s="11"/>
      <c r="GZ47" s="11"/>
      <c r="HA47" s="11"/>
      <c r="HB47" s="11"/>
      <c r="HC47" s="11"/>
      <c r="HD47" s="11"/>
      <c r="HE47" s="11"/>
      <c r="HF47" s="11"/>
      <c r="HG47" s="11"/>
      <c r="HH47" s="11"/>
      <c r="HI47" s="11"/>
      <c r="HJ47" s="11"/>
      <c r="HK47" s="11"/>
      <c r="HL47" s="11"/>
      <c r="HM47" s="11"/>
      <c r="HN47" s="11"/>
      <c r="HO47" s="11"/>
      <c r="HP47" s="11"/>
      <c r="HQ47" s="11"/>
      <c r="HR47" s="11"/>
      <c r="HS47" s="11"/>
      <c r="HT47" s="11"/>
      <c r="HU47" s="11"/>
      <c r="HV47" s="11"/>
      <c r="HW47" s="11"/>
      <c r="HX47" s="11"/>
      <c r="HY47" s="11"/>
      <c r="HZ47" s="11"/>
      <c r="IA47" s="11"/>
      <c r="IB47" s="11"/>
      <c r="IC47" s="11"/>
      <c r="ID47" s="11"/>
      <c r="IE47" s="11"/>
    </row>
    <row r="48" spans="1:239" ht="18.75" thickBot="1" x14ac:dyDescent="0.3">
      <c r="A48" s="6" t="s">
        <v>4</v>
      </c>
      <c r="B48" s="193"/>
      <c r="C48" s="181" t="s">
        <v>151</v>
      </c>
      <c r="D48" s="178">
        <f>'ES CT Gas Table A'!D44</f>
        <v>10000</v>
      </c>
      <c r="E48" s="178">
        <f>'[9]CNG Table A'!$I$52</f>
        <v>1596.9099999999999</v>
      </c>
      <c r="F48" s="178">
        <f>'[9]SCG Table A'!$I$52</f>
        <v>1597.4099999999999</v>
      </c>
      <c r="G48" s="178">
        <f t="shared" si="27"/>
        <v>13194.32</v>
      </c>
      <c r="H48" s="178">
        <f>'ES CT Gas Table A'!F44</f>
        <v>10000</v>
      </c>
      <c r="I48" s="178">
        <f>'[10]CNG Table A'!$E$48</f>
        <v>10000</v>
      </c>
      <c r="J48" s="178">
        <f>'[10]SCG Table A'!$E$48</f>
        <v>10000</v>
      </c>
      <c r="K48" s="178">
        <f t="shared" si="28"/>
        <v>30000</v>
      </c>
      <c r="L48" s="178">
        <f>'ES CT Gas Table A'!I44</f>
        <v>10000</v>
      </c>
      <c r="M48" s="178">
        <f>'[10]CNG Table A'!$G$48</f>
        <v>10000</v>
      </c>
      <c r="N48" s="178">
        <f>'[10]SCG Table A'!$G$48</f>
        <v>10000</v>
      </c>
      <c r="O48" s="178">
        <f t="shared" si="29"/>
        <v>30000</v>
      </c>
      <c r="P48" s="178">
        <f>'ES CT Gas Table A'!L44</f>
        <v>10000</v>
      </c>
      <c r="Q48" s="178">
        <f>'[11]CNG Table A'!J48</f>
        <v>10000</v>
      </c>
      <c r="R48" s="178">
        <f>'[11]SCG Table A'!J48</f>
        <v>10000</v>
      </c>
      <c r="S48" s="178">
        <f t="shared" si="30"/>
        <v>30000</v>
      </c>
      <c r="T48" s="178">
        <f>'ES CT Gas Table A'!N44</f>
        <v>10000</v>
      </c>
      <c r="U48" s="178">
        <f>'[11]CNG Table A'!M48</f>
        <v>10000</v>
      </c>
      <c r="V48" s="178">
        <f>'[11]SCG Table A'!M48</f>
        <v>10000</v>
      </c>
      <c r="W48" s="178">
        <f t="shared" si="31"/>
        <v>30000</v>
      </c>
      <c r="X48" s="178">
        <f>'ES CT Gas Table A'!O44</f>
        <v>10000</v>
      </c>
      <c r="Y48" s="178">
        <f>'[11]CNG Table A'!N48</f>
        <v>10000</v>
      </c>
      <c r="Z48" s="178">
        <f>'[11]SCG Table A'!N48</f>
        <v>10000</v>
      </c>
      <c r="AA48" s="178">
        <f t="shared" si="32"/>
        <v>30000</v>
      </c>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11"/>
      <c r="BB48" s="11"/>
      <c r="BC48" s="11"/>
      <c r="BD48" s="11"/>
      <c r="BE48" s="11"/>
      <c r="BF48" s="11"/>
      <c r="BG48" s="11"/>
      <c r="BH48" s="11"/>
      <c r="BI48" s="11"/>
      <c r="BJ48" s="11"/>
      <c r="BK48" s="11"/>
      <c r="BL48" s="11"/>
      <c r="BM48" s="11"/>
      <c r="BN48" s="11"/>
      <c r="BO48" s="11"/>
      <c r="BP48" s="11"/>
      <c r="BQ48" s="11"/>
      <c r="BR48" s="11"/>
      <c r="BS48" s="11"/>
      <c r="BT48" s="11"/>
      <c r="BU48" s="11"/>
      <c r="BV48" s="11"/>
      <c r="BW48" s="11"/>
      <c r="BX48" s="11"/>
      <c r="BY48" s="11"/>
      <c r="BZ48" s="11"/>
      <c r="CA48" s="11"/>
      <c r="CB48" s="11"/>
      <c r="CC48" s="11"/>
      <c r="CD48" s="11"/>
      <c r="CE48" s="11"/>
      <c r="CF48" s="11"/>
      <c r="CG48" s="11"/>
      <c r="CH48" s="11"/>
      <c r="CI48" s="11"/>
      <c r="CJ48" s="11"/>
      <c r="CK48" s="11"/>
      <c r="CL48" s="11"/>
      <c r="CM48" s="11"/>
      <c r="CN48" s="11"/>
      <c r="CO48" s="11"/>
      <c r="CP48" s="11"/>
      <c r="CQ48" s="11"/>
      <c r="CR48" s="11"/>
      <c r="CS48" s="11"/>
      <c r="CT48" s="11"/>
      <c r="CU48" s="11"/>
      <c r="CV48" s="11"/>
      <c r="CW48" s="11"/>
      <c r="CX48" s="11"/>
      <c r="CY48" s="11"/>
      <c r="CZ48" s="11"/>
      <c r="DA48" s="11"/>
      <c r="DB48" s="11"/>
      <c r="DC48" s="11"/>
      <c r="DD48" s="11"/>
      <c r="DE48" s="11"/>
      <c r="DF48" s="11"/>
      <c r="DG48" s="11"/>
      <c r="DH48" s="11"/>
      <c r="DI48" s="11"/>
      <c r="DJ48" s="11"/>
      <c r="DK48" s="11"/>
      <c r="DL48" s="11"/>
      <c r="DM48" s="11"/>
      <c r="DN48" s="11"/>
      <c r="DO48" s="11"/>
      <c r="DP48" s="11"/>
      <c r="DQ48" s="11"/>
      <c r="DR48" s="11"/>
      <c r="DS48" s="11"/>
      <c r="DT48" s="11"/>
      <c r="DU48" s="11"/>
      <c r="DV48" s="11"/>
      <c r="DW48" s="11"/>
      <c r="DX48" s="11"/>
      <c r="DY48" s="11"/>
      <c r="DZ48" s="11"/>
      <c r="EA48" s="11"/>
      <c r="EB48" s="11"/>
      <c r="EC48" s="11"/>
      <c r="ED48" s="11"/>
      <c r="EE48" s="11"/>
      <c r="EF48" s="11"/>
      <c r="EG48" s="11"/>
      <c r="EH48" s="11"/>
      <c r="EI48" s="11"/>
      <c r="EJ48" s="11"/>
      <c r="EK48" s="11"/>
      <c r="EL48" s="11"/>
      <c r="EM48" s="11"/>
      <c r="EN48" s="11"/>
      <c r="EO48" s="11"/>
      <c r="EP48" s="11"/>
      <c r="EQ48" s="11"/>
      <c r="ER48" s="11"/>
      <c r="ES48" s="11"/>
      <c r="ET48" s="11"/>
      <c r="EU48" s="11"/>
      <c r="EV48" s="11"/>
      <c r="EW48" s="11"/>
      <c r="EX48" s="11"/>
      <c r="EY48" s="11"/>
      <c r="EZ48" s="11"/>
      <c r="FA48" s="11"/>
      <c r="FB48" s="11"/>
      <c r="FC48" s="11"/>
      <c r="FD48" s="11"/>
      <c r="FE48" s="11"/>
      <c r="FF48" s="11"/>
      <c r="FG48" s="11"/>
      <c r="FH48" s="11"/>
      <c r="FI48" s="11"/>
      <c r="FJ48" s="11"/>
      <c r="FK48" s="11"/>
      <c r="FL48" s="11"/>
      <c r="FM48" s="11"/>
      <c r="FN48" s="11"/>
      <c r="FO48" s="11"/>
      <c r="FP48" s="11"/>
      <c r="FQ48" s="11"/>
      <c r="FR48" s="11"/>
      <c r="FS48" s="11"/>
      <c r="FT48" s="11"/>
      <c r="FU48" s="11"/>
      <c r="FV48" s="11"/>
      <c r="FW48" s="11"/>
      <c r="FX48" s="11"/>
      <c r="FY48" s="11"/>
      <c r="FZ48" s="11"/>
      <c r="GA48" s="11"/>
      <c r="GB48" s="11"/>
      <c r="GC48" s="11"/>
      <c r="GD48" s="11"/>
      <c r="GE48" s="11"/>
      <c r="GF48" s="11"/>
      <c r="GG48" s="11"/>
      <c r="GH48" s="11"/>
      <c r="GI48" s="11"/>
      <c r="GJ48" s="11"/>
      <c r="GK48" s="11"/>
      <c r="GL48" s="11"/>
      <c r="GM48" s="11"/>
      <c r="GN48" s="11"/>
      <c r="GO48" s="11"/>
      <c r="GP48" s="11"/>
      <c r="GQ48" s="11"/>
      <c r="GR48" s="11"/>
      <c r="GS48" s="11"/>
      <c r="GT48" s="11"/>
      <c r="GU48" s="11"/>
      <c r="GV48" s="11"/>
      <c r="GW48" s="11"/>
      <c r="GX48" s="11"/>
      <c r="GY48" s="11"/>
      <c r="GZ48" s="11"/>
      <c r="HA48" s="11"/>
      <c r="HB48" s="11"/>
      <c r="HC48" s="11"/>
      <c r="HD48" s="11"/>
      <c r="HE48" s="11"/>
      <c r="HF48" s="11"/>
      <c r="HG48" s="11"/>
      <c r="HH48" s="11"/>
      <c r="HI48" s="11"/>
      <c r="HJ48" s="11"/>
      <c r="HK48" s="11"/>
      <c r="HL48" s="11"/>
      <c r="HM48" s="11"/>
      <c r="HN48" s="11"/>
      <c r="HO48" s="11"/>
      <c r="HP48" s="11"/>
      <c r="HQ48" s="11"/>
      <c r="HR48" s="11"/>
      <c r="HS48" s="11"/>
      <c r="HT48" s="11"/>
      <c r="HU48" s="11"/>
      <c r="HV48" s="11"/>
      <c r="HW48" s="11"/>
      <c r="HX48" s="11"/>
      <c r="HY48" s="11"/>
      <c r="HZ48" s="11"/>
      <c r="IA48" s="11"/>
      <c r="IB48" s="11"/>
      <c r="IC48" s="11"/>
      <c r="ID48" s="11"/>
      <c r="IE48" s="11"/>
    </row>
    <row r="49" spans="1:239" ht="24" customHeight="1" thickBot="1" x14ac:dyDescent="0.3">
      <c r="A49" s="40" t="s">
        <v>4</v>
      </c>
      <c r="B49" s="194"/>
      <c r="C49" s="181" t="s">
        <v>149</v>
      </c>
      <c r="D49" s="178">
        <f>'ES CT Gas Table A'!D45</f>
        <v>1277162</v>
      </c>
      <c r="E49" s="178">
        <f>'[9]CNG Table A'!$I$53</f>
        <v>727765.23</v>
      </c>
      <c r="F49" s="178">
        <f>'[9]SCG Table A'!$I$53</f>
        <v>629890.33000000007</v>
      </c>
      <c r="G49" s="178">
        <f t="shared" si="27"/>
        <v>2634817.56</v>
      </c>
      <c r="H49" s="178">
        <f>'ES CT Gas Table A'!F45</f>
        <v>1347734</v>
      </c>
      <c r="I49" s="178">
        <f>'[10]CNG Table A'!$E$49</f>
        <v>459606</v>
      </c>
      <c r="J49" s="178">
        <f>'[10]SCG Table A'!$E$49</f>
        <v>696820</v>
      </c>
      <c r="K49" s="178">
        <f t="shared" si="28"/>
        <v>2504160</v>
      </c>
      <c r="L49" s="178">
        <f>'ES CT Gas Table A'!I45</f>
        <v>847047</v>
      </c>
      <c r="M49" s="178">
        <f>'[10]CNG Table A'!$G$49</f>
        <v>701103.85858006671</v>
      </c>
      <c r="N49" s="178">
        <f>'[10]SCG Table A'!$G$49</f>
        <v>575618.46208575531</v>
      </c>
      <c r="O49" s="178">
        <f t="shared" si="29"/>
        <v>2123769.3206658224</v>
      </c>
      <c r="P49" s="178">
        <f>'ES CT Gas Table A'!L45</f>
        <v>1117877</v>
      </c>
      <c r="Q49" s="178">
        <f>'[11]CNG Table A'!J49</f>
        <v>775647.47950104519</v>
      </c>
      <c r="R49" s="178">
        <f>'[11]SCG Table A'!J49</f>
        <v>695217.65749929228</v>
      </c>
      <c r="S49" s="178">
        <f t="shared" si="30"/>
        <v>2588742.1370003377</v>
      </c>
      <c r="T49" s="178">
        <f>'ES CT Gas Table A'!N45</f>
        <v>1135532.2103375001</v>
      </c>
      <c r="U49" s="178">
        <f>'[11]CNG Table A'!M49</f>
        <v>778909.06351248734</v>
      </c>
      <c r="V49" s="178">
        <f>'[11]SCG Table A'!M49</f>
        <v>702324.38649843959</v>
      </c>
      <c r="W49" s="178">
        <f t="shared" si="31"/>
        <v>2616765.660348427</v>
      </c>
      <c r="X49" s="178">
        <f>'ES CT Gas Table A'!O45</f>
        <v>1139156.0622187501</v>
      </c>
      <c r="Y49" s="178">
        <v>782184</v>
      </c>
      <c r="Z49" s="178">
        <v>713929</v>
      </c>
      <c r="AA49" s="178">
        <f t="shared" si="32"/>
        <v>2635269.0622187499</v>
      </c>
    </row>
    <row r="50" spans="1:239" ht="21.75" customHeight="1" thickBot="1" x14ac:dyDescent="0.3">
      <c r="A50" s="12"/>
      <c r="B50" s="193"/>
      <c r="C50" s="184" t="s">
        <v>217</v>
      </c>
      <c r="D50" s="180">
        <f t="shared" ref="D50:W50" si="33">SUM(D41:D49)</f>
        <v>1973475.6802916171</v>
      </c>
      <c r="E50" s="180">
        <f t="shared" si="33"/>
        <v>1296664.58</v>
      </c>
      <c r="F50" s="180">
        <f t="shared" si="33"/>
        <v>1180601.2200000002</v>
      </c>
      <c r="G50" s="180">
        <f t="shared" si="33"/>
        <v>4450741.4802916171</v>
      </c>
      <c r="H50" s="180">
        <f t="shared" si="33"/>
        <v>2035586</v>
      </c>
      <c r="I50" s="180">
        <f t="shared" si="33"/>
        <v>1454073.8900000001</v>
      </c>
      <c r="J50" s="180">
        <f t="shared" si="33"/>
        <v>1620323.8</v>
      </c>
      <c r="K50" s="180">
        <f t="shared" si="33"/>
        <v>5109983.6900000004</v>
      </c>
      <c r="L50" s="180">
        <f t="shared" si="33"/>
        <v>1650904.4875237197</v>
      </c>
      <c r="M50" s="180">
        <f t="shared" si="33"/>
        <v>2029124.0440800665</v>
      </c>
      <c r="N50" s="180">
        <f t="shared" si="33"/>
        <v>1869640.4620857553</v>
      </c>
      <c r="O50" s="180">
        <f t="shared" si="33"/>
        <v>5549668.9936895426</v>
      </c>
      <c r="P50" s="180">
        <f t="shared" ref="P50:S50" si="34">SUM(P41:P49)</f>
        <v>1921734.4875237197</v>
      </c>
      <c r="Q50" s="180">
        <f t="shared" si="34"/>
        <v>1803667.665001045</v>
      </c>
      <c r="R50" s="180">
        <f t="shared" si="34"/>
        <v>1712239.6574992924</v>
      </c>
      <c r="S50" s="180">
        <f t="shared" si="34"/>
        <v>5437641.8100240575</v>
      </c>
      <c r="T50" s="180">
        <f t="shared" si="33"/>
        <v>1939389.6978612195</v>
      </c>
      <c r="U50" s="180">
        <f t="shared" si="33"/>
        <v>1782929.2490124872</v>
      </c>
      <c r="V50" s="180">
        <f t="shared" si="33"/>
        <v>1697346.3864984396</v>
      </c>
      <c r="W50" s="180">
        <f t="shared" si="33"/>
        <v>5419665.3333721459</v>
      </c>
      <c r="X50" s="180">
        <f t="shared" ref="X50:AA50" si="35">SUM(X41:X49)</f>
        <v>1943013.5497424696</v>
      </c>
      <c r="Y50" s="180">
        <f t="shared" si="35"/>
        <v>1786204.1854999999</v>
      </c>
      <c r="Z50" s="180">
        <f t="shared" si="35"/>
        <v>1708951</v>
      </c>
      <c r="AA50" s="180">
        <f t="shared" si="35"/>
        <v>5438168.7352424692</v>
      </c>
      <c r="AB50" s="13"/>
      <c r="AC50" s="13"/>
      <c r="AD50" s="13"/>
      <c r="AE50" s="13"/>
      <c r="AF50" s="13"/>
      <c r="AG50" s="13"/>
      <c r="AH50" s="13"/>
      <c r="AI50" s="13"/>
      <c r="AJ50" s="13"/>
      <c r="AK50" s="13"/>
      <c r="AL50" s="13"/>
      <c r="AM50" s="13"/>
      <c r="AN50" s="13"/>
      <c r="AO50" s="13"/>
      <c r="AP50" s="13"/>
      <c r="AQ50" s="13"/>
      <c r="AR50" s="13"/>
      <c r="AS50" s="13"/>
      <c r="AT50" s="13"/>
      <c r="AU50" s="13"/>
      <c r="AV50" s="13"/>
      <c r="AW50" s="13"/>
      <c r="AX50" s="13"/>
      <c r="AY50" s="13"/>
      <c r="AZ50" s="13"/>
      <c r="BA50" s="13"/>
      <c r="BB50" s="13"/>
      <c r="BC50" s="13"/>
      <c r="BD50" s="13"/>
      <c r="BE50" s="13"/>
      <c r="BF50" s="13"/>
      <c r="BG50" s="13"/>
      <c r="BH50" s="13"/>
      <c r="BI50" s="13"/>
      <c r="BJ50" s="13"/>
      <c r="BK50" s="13"/>
      <c r="BL50" s="13"/>
      <c r="BM50" s="13"/>
      <c r="BN50" s="13"/>
      <c r="BO50" s="13"/>
      <c r="BP50" s="13"/>
      <c r="BQ50" s="13"/>
      <c r="BR50" s="13"/>
      <c r="BS50" s="13"/>
      <c r="BT50" s="13"/>
      <c r="BU50" s="13"/>
      <c r="BV50" s="13"/>
      <c r="BW50" s="13"/>
      <c r="BX50" s="13"/>
      <c r="BY50" s="13"/>
      <c r="BZ50" s="13"/>
      <c r="CA50" s="13"/>
      <c r="CB50" s="13"/>
      <c r="CC50" s="13"/>
      <c r="CD50" s="13"/>
      <c r="CE50" s="13"/>
      <c r="CF50" s="13"/>
      <c r="CG50" s="13"/>
      <c r="CH50" s="13"/>
      <c r="CI50" s="13"/>
      <c r="CJ50" s="13"/>
      <c r="CK50" s="13"/>
      <c r="CL50" s="13"/>
      <c r="CM50" s="13"/>
      <c r="CN50" s="13"/>
      <c r="CO50" s="13"/>
      <c r="CP50" s="13"/>
      <c r="CQ50" s="13"/>
      <c r="CR50" s="13"/>
      <c r="CS50" s="13"/>
      <c r="CT50" s="13"/>
      <c r="CU50" s="13"/>
      <c r="CV50" s="13"/>
      <c r="CW50" s="13"/>
      <c r="CX50" s="13"/>
      <c r="CY50" s="13"/>
      <c r="CZ50" s="13"/>
      <c r="DA50" s="13"/>
      <c r="DB50" s="13"/>
      <c r="DC50" s="13"/>
      <c r="DD50" s="13"/>
      <c r="DE50" s="13"/>
      <c r="DF50" s="13"/>
      <c r="DG50" s="13"/>
      <c r="DH50" s="13"/>
      <c r="DI50" s="13"/>
      <c r="DJ50" s="13"/>
      <c r="DK50" s="13"/>
      <c r="DL50" s="13"/>
      <c r="DM50" s="13"/>
      <c r="DN50" s="13"/>
      <c r="DO50" s="13"/>
      <c r="DP50" s="13"/>
      <c r="DQ50" s="13"/>
      <c r="DR50" s="13"/>
      <c r="DS50" s="13"/>
      <c r="DT50" s="13"/>
      <c r="DU50" s="13"/>
      <c r="DV50" s="13"/>
      <c r="DW50" s="13"/>
      <c r="DX50" s="13"/>
      <c r="DY50" s="13"/>
      <c r="DZ50" s="13"/>
      <c r="EA50" s="13"/>
      <c r="EB50" s="13"/>
      <c r="EC50" s="13"/>
      <c r="ED50" s="13"/>
      <c r="EE50" s="13"/>
      <c r="EF50" s="13"/>
      <c r="EG50" s="13"/>
      <c r="EH50" s="13"/>
      <c r="EI50" s="13"/>
      <c r="EJ50" s="13"/>
      <c r="EK50" s="13"/>
      <c r="EL50" s="13"/>
      <c r="EM50" s="13"/>
      <c r="EN50" s="13"/>
      <c r="EO50" s="13"/>
      <c r="EP50" s="13"/>
      <c r="EQ50" s="13"/>
      <c r="ER50" s="13"/>
      <c r="ES50" s="13"/>
      <c r="ET50" s="13"/>
      <c r="EU50" s="13"/>
      <c r="EV50" s="13"/>
      <c r="EW50" s="13"/>
      <c r="EX50" s="13"/>
      <c r="EY50" s="13"/>
      <c r="EZ50" s="13"/>
      <c r="FA50" s="13"/>
      <c r="FB50" s="13"/>
      <c r="FC50" s="13"/>
      <c r="FD50" s="13"/>
      <c r="FE50" s="13"/>
      <c r="FF50" s="13"/>
      <c r="FG50" s="13"/>
      <c r="FH50" s="13"/>
      <c r="FI50" s="13"/>
      <c r="FJ50" s="13"/>
      <c r="FK50" s="13"/>
      <c r="FL50" s="13"/>
      <c r="FM50" s="13"/>
      <c r="FN50" s="13"/>
      <c r="FO50" s="13"/>
      <c r="FP50" s="13"/>
      <c r="FQ50" s="13"/>
      <c r="FR50" s="13"/>
      <c r="FS50" s="13"/>
      <c r="FT50" s="13"/>
      <c r="FU50" s="13"/>
      <c r="FV50" s="13"/>
      <c r="FW50" s="13"/>
      <c r="FX50" s="13"/>
      <c r="FY50" s="13"/>
      <c r="FZ50" s="13"/>
      <c r="GA50" s="13"/>
      <c r="GB50" s="13"/>
      <c r="GC50" s="13"/>
      <c r="GD50" s="13"/>
      <c r="GE50" s="13"/>
      <c r="GF50" s="13"/>
      <c r="GG50" s="13"/>
      <c r="GH50" s="13"/>
      <c r="GI50" s="13"/>
      <c r="GJ50" s="13"/>
      <c r="GK50" s="13"/>
      <c r="GL50" s="13"/>
      <c r="GM50" s="13"/>
      <c r="GN50" s="13"/>
      <c r="GO50" s="13"/>
      <c r="GP50" s="13"/>
      <c r="GQ50" s="13"/>
      <c r="GR50" s="13"/>
      <c r="GS50" s="13"/>
      <c r="GT50" s="13"/>
      <c r="GU50" s="13"/>
      <c r="GV50" s="13"/>
      <c r="GW50" s="13"/>
      <c r="GX50" s="13"/>
      <c r="GY50" s="13"/>
      <c r="GZ50" s="13"/>
      <c r="HA50" s="13"/>
      <c r="HB50" s="13"/>
      <c r="HC50" s="13"/>
      <c r="HD50" s="13"/>
      <c r="HE50" s="13"/>
      <c r="HF50" s="13"/>
      <c r="HG50" s="13"/>
      <c r="HH50" s="13"/>
      <c r="HI50" s="13"/>
      <c r="HJ50" s="13"/>
      <c r="HK50" s="13"/>
      <c r="HL50" s="13"/>
      <c r="HM50" s="13"/>
      <c r="HN50" s="13"/>
      <c r="HO50" s="13"/>
      <c r="HP50" s="13"/>
      <c r="HQ50" s="13"/>
      <c r="HR50" s="13"/>
      <c r="HS50" s="13"/>
      <c r="HT50" s="13"/>
      <c r="HU50" s="13"/>
      <c r="HV50" s="13"/>
      <c r="HW50" s="13"/>
      <c r="HX50" s="13"/>
      <c r="HY50" s="13"/>
      <c r="HZ50" s="13"/>
      <c r="IA50" s="13"/>
      <c r="IB50" s="13"/>
      <c r="IC50" s="13"/>
      <c r="ID50" s="13"/>
      <c r="IE50" s="13"/>
    </row>
    <row r="51" spans="1:239" ht="18.75" hidden="1" thickBot="1" x14ac:dyDescent="0.3">
      <c r="A51" s="8"/>
      <c r="B51" s="193"/>
      <c r="C51" s="184" t="s">
        <v>17</v>
      </c>
      <c r="D51" s="188"/>
      <c r="E51" s="189"/>
      <c r="F51" s="189"/>
      <c r="G51" s="188"/>
      <c r="H51" s="188"/>
      <c r="I51" s="189"/>
      <c r="J51" s="189"/>
      <c r="K51" s="188"/>
      <c r="L51" s="188"/>
      <c r="M51" s="189"/>
      <c r="N51" s="189"/>
      <c r="O51" s="188"/>
      <c r="P51" s="188"/>
      <c r="Q51" s="189"/>
      <c r="R51" s="189"/>
      <c r="S51" s="188"/>
      <c r="T51" s="188"/>
      <c r="U51" s="189"/>
      <c r="V51" s="189"/>
      <c r="W51" s="188"/>
      <c r="X51" s="188"/>
      <c r="Y51" s="189"/>
      <c r="Z51" s="189"/>
      <c r="AA51" s="188"/>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c r="BB51" s="11"/>
      <c r="BC51" s="11"/>
      <c r="BD51" s="11"/>
      <c r="BE51" s="11"/>
      <c r="BF51" s="11"/>
      <c r="BG51" s="11"/>
      <c r="BH51" s="11"/>
      <c r="BI51" s="11"/>
      <c r="BJ51" s="11"/>
      <c r="BK51" s="11"/>
      <c r="BL51" s="11"/>
      <c r="BM51" s="11"/>
      <c r="BN51" s="11"/>
      <c r="BO51" s="11"/>
      <c r="BP51" s="11"/>
      <c r="BQ51" s="11"/>
      <c r="BR51" s="11"/>
      <c r="BS51" s="11"/>
      <c r="BT51" s="11"/>
      <c r="BU51" s="11"/>
      <c r="BV51" s="11"/>
      <c r="BW51" s="11"/>
      <c r="BX51" s="11"/>
      <c r="BY51" s="11"/>
      <c r="BZ51" s="11"/>
      <c r="CA51" s="11"/>
      <c r="CB51" s="11"/>
      <c r="CC51" s="11"/>
      <c r="CD51" s="11"/>
      <c r="CE51" s="11"/>
      <c r="CF51" s="11"/>
      <c r="CG51" s="11"/>
      <c r="CH51" s="11"/>
      <c r="CI51" s="11"/>
      <c r="CJ51" s="11"/>
      <c r="CK51" s="11"/>
      <c r="CL51" s="11"/>
      <c r="CM51" s="11"/>
      <c r="CN51" s="11"/>
      <c r="CO51" s="11"/>
      <c r="CP51" s="11"/>
      <c r="CQ51" s="11"/>
      <c r="CR51" s="11"/>
      <c r="CS51" s="11"/>
      <c r="CT51" s="11"/>
      <c r="CU51" s="11"/>
      <c r="CV51" s="11"/>
      <c r="CW51" s="11"/>
      <c r="CX51" s="11"/>
      <c r="CY51" s="11"/>
      <c r="CZ51" s="11"/>
      <c r="DA51" s="11"/>
      <c r="DB51" s="11"/>
      <c r="DC51" s="11"/>
      <c r="DD51" s="11"/>
      <c r="DE51" s="11"/>
      <c r="DF51" s="11"/>
      <c r="DG51" s="11"/>
      <c r="DH51" s="11"/>
      <c r="DI51" s="11"/>
      <c r="DJ51" s="11"/>
      <c r="DK51" s="11"/>
      <c r="DL51" s="11"/>
      <c r="DM51" s="11"/>
      <c r="DN51" s="11"/>
      <c r="DO51" s="11"/>
      <c r="DP51" s="11"/>
      <c r="DQ51" s="11"/>
      <c r="DR51" s="11"/>
      <c r="DS51" s="11"/>
      <c r="DT51" s="11"/>
      <c r="DU51" s="11"/>
      <c r="DV51" s="11"/>
      <c r="DW51" s="11"/>
      <c r="DX51" s="11"/>
      <c r="DY51" s="11"/>
      <c r="DZ51" s="11"/>
      <c r="EA51" s="11"/>
      <c r="EB51" s="11"/>
      <c r="EC51" s="11"/>
      <c r="ED51" s="11"/>
      <c r="EE51" s="11"/>
      <c r="EF51" s="11"/>
      <c r="EG51" s="11"/>
      <c r="EH51" s="11"/>
      <c r="EI51" s="11"/>
      <c r="EJ51" s="11"/>
      <c r="EK51" s="11"/>
      <c r="EL51" s="11"/>
      <c r="EM51" s="11"/>
      <c r="EN51" s="11"/>
      <c r="EO51" s="11"/>
      <c r="EP51" s="11"/>
      <c r="EQ51" s="11"/>
      <c r="ER51" s="11"/>
      <c r="ES51" s="11"/>
      <c r="ET51" s="11"/>
      <c r="EU51" s="11"/>
      <c r="EV51" s="11"/>
      <c r="EW51" s="11"/>
      <c r="EX51" s="11"/>
      <c r="EY51" s="11"/>
      <c r="EZ51" s="11"/>
      <c r="FA51" s="11"/>
      <c r="FB51" s="11"/>
      <c r="FC51" s="11"/>
      <c r="FD51" s="11"/>
      <c r="FE51" s="11"/>
      <c r="FF51" s="11"/>
      <c r="FG51" s="11"/>
      <c r="FH51" s="11"/>
      <c r="FI51" s="11"/>
      <c r="FJ51" s="11"/>
      <c r="FK51" s="11"/>
      <c r="FL51" s="11"/>
      <c r="FM51" s="11"/>
      <c r="FN51" s="11"/>
      <c r="FO51" s="11"/>
      <c r="FP51" s="11"/>
      <c r="FQ51" s="11"/>
      <c r="FR51" s="11"/>
      <c r="FS51" s="11"/>
      <c r="FT51" s="11"/>
      <c r="FU51" s="11"/>
      <c r="FV51" s="11"/>
      <c r="FW51" s="11"/>
      <c r="FX51" s="11"/>
      <c r="FY51" s="11"/>
      <c r="FZ51" s="11"/>
      <c r="GA51" s="11"/>
      <c r="GB51" s="11"/>
      <c r="GC51" s="11"/>
      <c r="GD51" s="11"/>
      <c r="GE51" s="11"/>
      <c r="GF51" s="11"/>
      <c r="GG51" s="11"/>
      <c r="GH51" s="11"/>
      <c r="GI51" s="11"/>
      <c r="GJ51" s="11"/>
      <c r="GK51" s="11"/>
      <c r="GL51" s="11"/>
      <c r="GM51" s="11"/>
      <c r="GN51" s="11"/>
      <c r="GO51" s="11"/>
      <c r="GP51" s="11"/>
      <c r="GQ51" s="11"/>
      <c r="GR51" s="11"/>
      <c r="GS51" s="11"/>
      <c r="GT51" s="11"/>
      <c r="GU51" s="11"/>
      <c r="GV51" s="11"/>
      <c r="GW51" s="11"/>
      <c r="GX51" s="11"/>
      <c r="GY51" s="11"/>
      <c r="GZ51" s="11"/>
      <c r="HA51" s="11"/>
      <c r="HB51" s="11"/>
      <c r="HC51" s="11"/>
      <c r="HD51" s="11"/>
      <c r="HE51" s="11"/>
      <c r="HF51" s="11"/>
      <c r="HG51" s="11"/>
      <c r="HH51" s="11"/>
      <c r="HI51" s="11"/>
      <c r="HJ51" s="11"/>
      <c r="HK51" s="11"/>
      <c r="HL51" s="11"/>
      <c r="HM51" s="11"/>
      <c r="HN51" s="11"/>
      <c r="HO51" s="11"/>
      <c r="HP51" s="11"/>
      <c r="HQ51" s="11"/>
      <c r="HR51" s="11"/>
      <c r="HS51" s="11"/>
      <c r="HT51" s="11"/>
      <c r="HU51" s="11"/>
      <c r="HV51" s="11"/>
      <c r="HW51" s="11"/>
      <c r="HX51" s="11"/>
      <c r="HY51" s="11"/>
      <c r="HZ51" s="11"/>
      <c r="IA51" s="11"/>
      <c r="IB51" s="11"/>
      <c r="IC51" s="11"/>
      <c r="ID51" s="11"/>
      <c r="IE51" s="11"/>
    </row>
    <row r="52" spans="1:239" ht="18.75" hidden="1" thickBot="1" x14ac:dyDescent="0.3">
      <c r="A52" s="15"/>
      <c r="B52" s="193"/>
      <c r="C52" s="190" t="s">
        <v>6</v>
      </c>
      <c r="D52" s="191">
        <f>D18+D30*0.8+D32*0.5+D31*0.5+D33*0.8+D36+D42*0.8+D26</f>
        <v>12610385.791000001</v>
      </c>
      <c r="E52" s="191">
        <f t="shared" ref="E52:W52" si="36">E18+E30*0.8+E32*0.5+E31*0.5+E33*0.8+E36+E42*0.8+E26</f>
        <v>6029271.9759999998</v>
      </c>
      <c r="F52" s="191">
        <f t="shared" si="36"/>
        <v>8247426.1439999994</v>
      </c>
      <c r="G52" s="191">
        <f t="shared" si="36"/>
        <v>26887083.911000002</v>
      </c>
      <c r="H52" s="191">
        <f t="shared" si="36"/>
        <v>16243083.208999997</v>
      </c>
      <c r="I52" s="191">
        <f t="shared" si="36"/>
        <v>11401258.5</v>
      </c>
      <c r="J52" s="191">
        <f t="shared" si="36"/>
        <v>10894830.5</v>
      </c>
      <c r="K52" s="191">
        <f t="shared" si="36"/>
        <v>38539172.208999991</v>
      </c>
      <c r="L52" s="191">
        <f t="shared" si="36"/>
        <v>9804638.1829154491</v>
      </c>
      <c r="M52" s="191">
        <f t="shared" si="36"/>
        <v>8768745.5448512882</v>
      </c>
      <c r="N52" s="191">
        <f t="shared" si="36"/>
        <v>7220843.5159678487</v>
      </c>
      <c r="O52" s="191">
        <f t="shared" si="36"/>
        <v>25794227.243734583</v>
      </c>
      <c r="P52" s="191">
        <f t="shared" si="36"/>
        <v>11997014.672915449</v>
      </c>
      <c r="Q52" s="191">
        <f t="shared" si="36"/>
        <v>10033728.026872244</v>
      </c>
      <c r="R52" s="191">
        <f t="shared" si="36"/>
        <v>9101984.0022898652</v>
      </c>
      <c r="S52" s="191">
        <f t="shared" si="36"/>
        <v>31132726.702077556</v>
      </c>
      <c r="T52" s="191">
        <f t="shared" si="36"/>
        <v>12347922.471492307</v>
      </c>
      <c r="U52" s="191">
        <f t="shared" si="36"/>
        <v>10006771.601279359</v>
      </c>
      <c r="V52" s="191">
        <f t="shared" si="36"/>
        <v>9218977.7753148265</v>
      </c>
      <c r="W52" s="191">
        <f t="shared" si="36"/>
        <v>31573671.848086491</v>
      </c>
      <c r="X52" s="191">
        <f t="shared" ref="X52:AA52" si="37">X18+X30*0.8+X32*0.5+X31*0.5+X33*0.8+X36+X42*0.8+X26</f>
        <v>12420396.196314415</v>
      </c>
      <c r="Y52" s="191">
        <f t="shared" si="37"/>
        <v>10050838.790977117</v>
      </c>
      <c r="Z52" s="191">
        <f t="shared" si="37"/>
        <v>9314708.5218465254</v>
      </c>
      <c r="AA52" s="191">
        <f t="shared" si="37"/>
        <v>31785943.509138063</v>
      </c>
      <c r="AB52" s="16"/>
      <c r="AC52" s="16"/>
      <c r="AD52" s="16"/>
      <c r="AE52" s="16"/>
      <c r="AF52" s="16"/>
      <c r="AG52" s="16"/>
      <c r="AH52" s="16"/>
      <c r="AI52" s="16"/>
      <c r="AJ52" s="16"/>
      <c r="AK52" s="16"/>
      <c r="AL52" s="16"/>
      <c r="AM52" s="16"/>
      <c r="AN52" s="16"/>
      <c r="AO52" s="16"/>
      <c r="AP52" s="16"/>
      <c r="AQ52" s="16"/>
      <c r="AR52" s="16"/>
      <c r="AS52" s="16"/>
      <c r="AT52" s="16"/>
      <c r="AU52" s="16"/>
      <c r="AV52" s="16"/>
      <c r="AW52" s="16"/>
      <c r="AX52" s="16"/>
      <c r="AY52" s="16"/>
      <c r="AZ52" s="16"/>
      <c r="BA52" s="16"/>
      <c r="BB52" s="16"/>
      <c r="BC52" s="16"/>
      <c r="BD52" s="16"/>
      <c r="BE52" s="16"/>
      <c r="BF52" s="16"/>
      <c r="BG52" s="16"/>
      <c r="BH52" s="16"/>
      <c r="BI52" s="16"/>
      <c r="BJ52" s="16"/>
      <c r="BK52" s="16"/>
      <c r="BL52" s="16"/>
      <c r="BM52" s="16"/>
      <c r="BN52" s="16"/>
      <c r="BO52" s="16"/>
      <c r="BP52" s="16"/>
      <c r="BQ52" s="16"/>
      <c r="BR52" s="16"/>
      <c r="BS52" s="16"/>
      <c r="BT52" s="16"/>
      <c r="BU52" s="16"/>
      <c r="BV52" s="16"/>
      <c r="BW52" s="16"/>
      <c r="BX52" s="16"/>
      <c r="BY52" s="16"/>
      <c r="BZ52" s="16"/>
      <c r="CA52" s="16"/>
      <c r="CB52" s="16"/>
      <c r="CC52" s="16"/>
      <c r="CD52" s="16"/>
      <c r="CE52" s="16"/>
      <c r="CF52" s="16"/>
      <c r="CG52" s="16"/>
      <c r="CH52" s="16"/>
      <c r="CI52" s="16"/>
      <c r="CJ52" s="16"/>
      <c r="CK52" s="16"/>
      <c r="CL52" s="16"/>
      <c r="CM52" s="16"/>
      <c r="CN52" s="16"/>
      <c r="CO52" s="16"/>
      <c r="CP52" s="16"/>
      <c r="CQ52" s="16"/>
      <c r="CR52" s="16"/>
      <c r="CS52" s="16"/>
      <c r="CT52" s="16"/>
      <c r="CU52" s="16"/>
      <c r="CV52" s="16"/>
      <c r="CW52" s="16"/>
      <c r="CX52" s="16"/>
      <c r="CY52" s="16"/>
      <c r="CZ52" s="16"/>
      <c r="DA52" s="16"/>
      <c r="DB52" s="16"/>
      <c r="DC52" s="16"/>
      <c r="DD52" s="16"/>
      <c r="DE52" s="16"/>
      <c r="DF52" s="16"/>
      <c r="DG52" s="16"/>
      <c r="DH52" s="16"/>
      <c r="DI52" s="16"/>
      <c r="DJ52" s="16"/>
      <c r="DK52" s="16"/>
      <c r="DL52" s="16"/>
      <c r="DM52" s="16"/>
      <c r="DN52" s="16"/>
      <c r="DO52" s="16"/>
      <c r="DP52" s="16"/>
      <c r="DQ52" s="16"/>
      <c r="DR52" s="16"/>
      <c r="DS52" s="16"/>
      <c r="DT52" s="16"/>
      <c r="DU52" s="16"/>
      <c r="DV52" s="16"/>
      <c r="DW52" s="16"/>
      <c r="DX52" s="16"/>
      <c r="DY52" s="16"/>
      <c r="DZ52" s="16"/>
      <c r="EA52" s="16"/>
      <c r="EB52" s="16"/>
      <c r="EC52" s="16"/>
      <c r="ED52" s="16"/>
      <c r="EE52" s="16"/>
      <c r="EF52" s="16"/>
      <c r="EG52" s="16"/>
      <c r="EH52" s="16"/>
      <c r="EI52" s="16"/>
      <c r="EJ52" s="16"/>
      <c r="EK52" s="16"/>
      <c r="EL52" s="16"/>
      <c r="EM52" s="16"/>
      <c r="EN52" s="16"/>
      <c r="EO52" s="16"/>
      <c r="EP52" s="16"/>
      <c r="EQ52" s="16"/>
      <c r="ER52" s="16"/>
      <c r="ES52" s="16"/>
      <c r="ET52" s="16"/>
      <c r="EU52" s="16"/>
      <c r="EV52" s="16"/>
      <c r="EW52" s="16"/>
      <c r="EX52" s="16"/>
      <c r="EY52" s="16"/>
      <c r="EZ52" s="16"/>
      <c r="FA52" s="16"/>
      <c r="FB52" s="16"/>
      <c r="FC52" s="16"/>
      <c r="FD52" s="16"/>
      <c r="FE52" s="16"/>
      <c r="FF52" s="16"/>
      <c r="FG52" s="16"/>
      <c r="FH52" s="16"/>
      <c r="FI52" s="16"/>
      <c r="FJ52" s="16"/>
      <c r="FK52" s="16"/>
      <c r="FL52" s="16"/>
      <c r="FM52" s="16"/>
      <c r="FN52" s="16"/>
      <c r="FO52" s="16"/>
      <c r="FP52" s="16"/>
      <c r="FQ52" s="16"/>
      <c r="FR52" s="16"/>
      <c r="FS52" s="16"/>
      <c r="FT52" s="16"/>
      <c r="FU52" s="16"/>
      <c r="FV52" s="16"/>
      <c r="FW52" s="16"/>
      <c r="FX52" s="16"/>
      <c r="FY52" s="16"/>
      <c r="FZ52" s="16"/>
      <c r="GA52" s="16"/>
      <c r="GB52" s="16"/>
      <c r="GC52" s="16"/>
      <c r="GD52" s="16"/>
      <c r="GE52" s="16"/>
      <c r="GF52" s="16"/>
      <c r="GG52" s="16"/>
      <c r="GH52" s="16"/>
      <c r="GI52" s="16"/>
      <c r="GJ52" s="16"/>
      <c r="GK52" s="16"/>
      <c r="GL52" s="16"/>
      <c r="GM52" s="16"/>
      <c r="GN52" s="16"/>
      <c r="GO52" s="16"/>
      <c r="GP52" s="16"/>
      <c r="GQ52" s="16"/>
      <c r="GR52" s="16"/>
      <c r="GS52" s="16"/>
      <c r="GT52" s="16"/>
      <c r="GU52" s="16"/>
      <c r="GV52" s="16"/>
      <c r="GW52" s="16"/>
      <c r="GX52" s="16"/>
      <c r="GY52" s="16"/>
      <c r="GZ52" s="16"/>
      <c r="HA52" s="16"/>
      <c r="HB52" s="16"/>
      <c r="HC52" s="16"/>
      <c r="HD52" s="16"/>
      <c r="HE52" s="16"/>
      <c r="HF52" s="16"/>
      <c r="HG52" s="16"/>
      <c r="HH52" s="16"/>
      <c r="HI52" s="16"/>
      <c r="HJ52" s="16"/>
      <c r="HK52" s="16"/>
      <c r="HL52" s="16"/>
      <c r="HM52" s="16"/>
      <c r="HN52" s="16"/>
      <c r="HO52" s="16"/>
      <c r="HP52" s="16"/>
      <c r="HQ52" s="16"/>
      <c r="HR52" s="16"/>
      <c r="HS52" s="16"/>
      <c r="HT52" s="16"/>
      <c r="HU52" s="16"/>
      <c r="HV52" s="16"/>
      <c r="HW52" s="16"/>
      <c r="HX52" s="16"/>
      <c r="HY52" s="16"/>
      <c r="HZ52" s="16"/>
      <c r="IA52" s="16"/>
      <c r="IB52" s="16"/>
      <c r="IC52" s="16"/>
      <c r="ID52" s="16"/>
      <c r="IE52" s="16"/>
    </row>
    <row r="53" spans="1:239" ht="18.75" hidden="1" thickBot="1" x14ac:dyDescent="0.3">
      <c r="A53" s="15"/>
      <c r="B53" s="193"/>
      <c r="C53" s="190" t="s">
        <v>7</v>
      </c>
      <c r="D53" s="192">
        <f>D24+D30*0.2+D32*0.5+D33*0.2+D31*0.5+D37+D42*0.2+D27</f>
        <v>7750723.7590000005</v>
      </c>
      <c r="E53" s="192">
        <f t="shared" ref="E53:W53" si="38">E24+E30*0.2+E32*0.5+E33*0.2+E31*0.5+E37+E42*0.2+E27</f>
        <v>5549284.5440000007</v>
      </c>
      <c r="F53" s="192">
        <f t="shared" si="38"/>
        <v>4709817.4960000003</v>
      </c>
      <c r="G53" s="192">
        <f t="shared" si="38"/>
        <v>18009825.798999999</v>
      </c>
      <c r="H53" s="192">
        <f t="shared" si="38"/>
        <v>5243167.0109999999</v>
      </c>
      <c r="I53" s="192">
        <f t="shared" si="38"/>
        <v>5078324.5</v>
      </c>
      <c r="J53" s="192">
        <f t="shared" si="38"/>
        <v>4370036.5</v>
      </c>
      <c r="K53" s="192">
        <f t="shared" si="38"/>
        <v>14691528.010999998</v>
      </c>
      <c r="L53" s="192">
        <f t="shared" si="38"/>
        <v>6415488.7214156222</v>
      </c>
      <c r="M53" s="192">
        <f t="shared" si="38"/>
        <v>4008351.4449934741</v>
      </c>
      <c r="N53" s="192">
        <f t="shared" si="38"/>
        <v>3080543.728035978</v>
      </c>
      <c r="O53" s="192">
        <f t="shared" si="38"/>
        <v>13504383.894445077</v>
      </c>
      <c r="P53" s="192">
        <f t="shared" si="38"/>
        <v>9639704.2114156242</v>
      </c>
      <c r="Q53" s="192">
        <f t="shared" si="38"/>
        <v>4534241.379666253</v>
      </c>
      <c r="R53" s="192">
        <f t="shared" si="38"/>
        <v>3868387.14769598</v>
      </c>
      <c r="S53" s="192">
        <f t="shared" si="38"/>
        <v>18042332.738777854</v>
      </c>
      <c r="T53" s="192">
        <f t="shared" si="38"/>
        <v>9641905.2114156242</v>
      </c>
      <c r="U53" s="192">
        <f t="shared" si="38"/>
        <v>4650429.4854703862</v>
      </c>
      <c r="V53" s="192">
        <f t="shared" si="38"/>
        <v>3915527.9514824934</v>
      </c>
      <c r="W53" s="192">
        <f t="shared" si="38"/>
        <v>18207862.6483685</v>
      </c>
      <c r="X53" s="192">
        <f t="shared" ref="X53:AA53" si="39">X24+X30*0.2+X32*0.5+X33*0.2+X31*0.5+X37+X42*0.2+X27</f>
        <v>9641905.2114156242</v>
      </c>
      <c r="Y53" s="192">
        <f t="shared" si="39"/>
        <v>4671866.6164556164</v>
      </c>
      <c r="Z53" s="192">
        <f t="shared" si="39"/>
        <v>3958950.0399055583</v>
      </c>
      <c r="AA53" s="192">
        <f t="shared" si="39"/>
        <v>18272721.867776796</v>
      </c>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16"/>
      <c r="BE53" s="16"/>
      <c r="BF53" s="16"/>
      <c r="BG53" s="16"/>
      <c r="BH53" s="16"/>
      <c r="BI53" s="16"/>
      <c r="BJ53" s="16"/>
      <c r="BK53" s="16"/>
      <c r="BL53" s="16"/>
      <c r="BM53" s="16"/>
      <c r="BN53" s="16"/>
      <c r="BO53" s="16"/>
      <c r="BP53" s="16"/>
      <c r="BQ53" s="16"/>
      <c r="BR53" s="16"/>
      <c r="BS53" s="16"/>
      <c r="BT53" s="16"/>
      <c r="BU53" s="16"/>
      <c r="BV53" s="16"/>
      <c r="BW53" s="16"/>
      <c r="BX53" s="16"/>
      <c r="BY53" s="16"/>
      <c r="BZ53" s="16"/>
      <c r="CA53" s="16"/>
      <c r="CB53" s="16"/>
      <c r="CC53" s="16"/>
      <c r="CD53" s="16"/>
      <c r="CE53" s="16"/>
      <c r="CF53" s="16"/>
      <c r="CG53" s="16"/>
      <c r="CH53" s="16"/>
      <c r="CI53" s="16"/>
      <c r="CJ53" s="16"/>
      <c r="CK53" s="16"/>
      <c r="CL53" s="16"/>
      <c r="CM53" s="16"/>
      <c r="CN53" s="16"/>
      <c r="CO53" s="16"/>
      <c r="CP53" s="16"/>
      <c r="CQ53" s="16"/>
      <c r="CR53" s="16"/>
      <c r="CS53" s="16"/>
      <c r="CT53" s="16"/>
      <c r="CU53" s="16"/>
      <c r="CV53" s="16"/>
      <c r="CW53" s="16"/>
      <c r="CX53" s="16"/>
      <c r="CY53" s="16"/>
      <c r="CZ53" s="16"/>
      <c r="DA53" s="16"/>
      <c r="DB53" s="16"/>
      <c r="DC53" s="16"/>
      <c r="DD53" s="16"/>
      <c r="DE53" s="16"/>
      <c r="DF53" s="16"/>
      <c r="DG53" s="16"/>
      <c r="DH53" s="16"/>
      <c r="DI53" s="16"/>
      <c r="DJ53" s="16"/>
      <c r="DK53" s="16"/>
      <c r="DL53" s="16"/>
      <c r="DM53" s="16"/>
      <c r="DN53" s="16"/>
      <c r="DO53" s="16"/>
      <c r="DP53" s="16"/>
      <c r="DQ53" s="16"/>
      <c r="DR53" s="16"/>
      <c r="DS53" s="16"/>
      <c r="DT53" s="16"/>
      <c r="DU53" s="16"/>
      <c r="DV53" s="16"/>
      <c r="DW53" s="16"/>
      <c r="DX53" s="16"/>
      <c r="DY53" s="16"/>
      <c r="DZ53" s="16"/>
      <c r="EA53" s="16"/>
      <c r="EB53" s="16"/>
      <c r="EC53" s="16"/>
      <c r="ED53" s="16"/>
      <c r="EE53" s="16"/>
      <c r="EF53" s="16"/>
      <c r="EG53" s="16"/>
      <c r="EH53" s="16"/>
      <c r="EI53" s="16"/>
      <c r="EJ53" s="16"/>
      <c r="EK53" s="16"/>
      <c r="EL53" s="16"/>
      <c r="EM53" s="16"/>
      <c r="EN53" s="16"/>
      <c r="EO53" s="16"/>
      <c r="EP53" s="16"/>
      <c r="EQ53" s="16"/>
      <c r="ER53" s="16"/>
      <c r="ES53" s="16"/>
      <c r="ET53" s="16"/>
      <c r="EU53" s="16"/>
      <c r="EV53" s="16"/>
      <c r="EW53" s="16"/>
      <c r="EX53" s="16"/>
      <c r="EY53" s="16"/>
      <c r="EZ53" s="16"/>
      <c r="FA53" s="16"/>
      <c r="FB53" s="16"/>
      <c r="FC53" s="16"/>
      <c r="FD53" s="16"/>
      <c r="FE53" s="16"/>
      <c r="FF53" s="16"/>
      <c r="FG53" s="16"/>
      <c r="FH53" s="16"/>
      <c r="FI53" s="16"/>
      <c r="FJ53" s="16"/>
      <c r="FK53" s="16"/>
      <c r="FL53" s="16"/>
      <c r="FM53" s="16"/>
      <c r="FN53" s="16"/>
      <c r="FO53" s="16"/>
      <c r="FP53" s="16"/>
      <c r="FQ53" s="16"/>
      <c r="FR53" s="16"/>
      <c r="FS53" s="16"/>
      <c r="FT53" s="16"/>
      <c r="FU53" s="16"/>
      <c r="FV53" s="16"/>
      <c r="FW53" s="16"/>
      <c r="FX53" s="16"/>
      <c r="FY53" s="16"/>
      <c r="FZ53" s="16"/>
      <c r="GA53" s="16"/>
      <c r="GB53" s="16"/>
      <c r="GC53" s="16"/>
      <c r="GD53" s="16"/>
      <c r="GE53" s="16"/>
      <c r="GF53" s="16"/>
      <c r="GG53" s="16"/>
      <c r="GH53" s="16"/>
      <c r="GI53" s="16"/>
      <c r="GJ53" s="16"/>
      <c r="GK53" s="16"/>
      <c r="GL53" s="16"/>
      <c r="GM53" s="16"/>
      <c r="GN53" s="16"/>
      <c r="GO53" s="16"/>
      <c r="GP53" s="16"/>
      <c r="GQ53" s="16"/>
      <c r="GR53" s="16"/>
      <c r="GS53" s="16"/>
      <c r="GT53" s="16"/>
      <c r="GU53" s="16"/>
      <c r="GV53" s="16"/>
      <c r="GW53" s="16"/>
      <c r="GX53" s="16"/>
      <c r="GY53" s="16"/>
      <c r="GZ53" s="16"/>
      <c r="HA53" s="16"/>
      <c r="HB53" s="16"/>
      <c r="HC53" s="16"/>
      <c r="HD53" s="16"/>
      <c r="HE53" s="16"/>
      <c r="HF53" s="16"/>
      <c r="HG53" s="16"/>
      <c r="HH53" s="16"/>
      <c r="HI53" s="16"/>
      <c r="HJ53" s="16"/>
      <c r="HK53" s="16"/>
      <c r="HL53" s="16"/>
      <c r="HM53" s="16"/>
      <c r="HN53" s="16"/>
      <c r="HO53" s="16"/>
      <c r="HP53" s="16"/>
      <c r="HQ53" s="16"/>
      <c r="HR53" s="16"/>
      <c r="HS53" s="16"/>
      <c r="HT53" s="16"/>
      <c r="HU53" s="16"/>
      <c r="HV53" s="16"/>
      <c r="HW53" s="16"/>
      <c r="HX53" s="16"/>
      <c r="HY53" s="16"/>
      <c r="HZ53" s="16"/>
      <c r="IA53" s="16"/>
      <c r="IB53" s="16"/>
      <c r="IC53" s="16"/>
      <c r="ID53" s="16"/>
      <c r="IE53" s="16"/>
    </row>
    <row r="54" spans="1:239" ht="18.75" hidden="1" thickBot="1" x14ac:dyDescent="0.3">
      <c r="A54" s="8"/>
      <c r="B54" s="193"/>
      <c r="C54" s="190" t="s">
        <v>18</v>
      </c>
      <c r="D54" s="192">
        <f t="shared" ref="D54:W54" si="40">D38+D41+SUM(D43:D49)</f>
        <v>1953688.6802916171</v>
      </c>
      <c r="E54" s="192">
        <f t="shared" si="40"/>
        <v>1306132.5900000001</v>
      </c>
      <c r="F54" s="192">
        <f t="shared" si="40"/>
        <v>1191451.9099999999</v>
      </c>
      <c r="G54" s="192">
        <f t="shared" si="40"/>
        <v>4451273.1802916164</v>
      </c>
      <c r="H54" s="192">
        <f t="shared" si="40"/>
        <v>1981382</v>
      </c>
      <c r="I54" s="192">
        <f t="shared" si="40"/>
        <v>1393516.8900000001</v>
      </c>
      <c r="J54" s="192">
        <f t="shared" si="40"/>
        <v>1633595.8</v>
      </c>
      <c r="K54" s="192">
        <f t="shared" si="40"/>
        <v>5008494.6899999995</v>
      </c>
      <c r="L54" s="192">
        <f t="shared" si="40"/>
        <v>1660804.0895274873</v>
      </c>
      <c r="M54" s="192">
        <f t="shared" si="40"/>
        <v>2039024.0440800665</v>
      </c>
      <c r="N54" s="192">
        <f t="shared" si="40"/>
        <v>1879540.4620857553</v>
      </c>
      <c r="O54" s="192">
        <f t="shared" si="40"/>
        <v>5579368.5956933098</v>
      </c>
      <c r="P54" s="192">
        <f t="shared" si="40"/>
        <v>1931634.0895274873</v>
      </c>
      <c r="Q54" s="192">
        <f t="shared" si="40"/>
        <v>1813567.665001045</v>
      </c>
      <c r="R54" s="192">
        <f t="shared" si="40"/>
        <v>1722139.6574992924</v>
      </c>
      <c r="S54" s="192">
        <f t="shared" si="40"/>
        <v>5467341.4120278247</v>
      </c>
      <c r="T54" s="192">
        <f t="shared" si="40"/>
        <v>1949289.2998649871</v>
      </c>
      <c r="U54" s="192">
        <f t="shared" si="40"/>
        <v>1792829.2490124872</v>
      </c>
      <c r="V54" s="192">
        <f t="shared" si="40"/>
        <v>1707246.3864984396</v>
      </c>
      <c r="W54" s="192">
        <f t="shared" si="40"/>
        <v>5449364.935375913</v>
      </c>
      <c r="X54" s="192">
        <f t="shared" ref="X54:AA54" si="41">X38+X41+SUM(X43:X49)</f>
        <v>1952913.1517462372</v>
      </c>
      <c r="Y54" s="192">
        <f t="shared" si="41"/>
        <v>1796104.1854999999</v>
      </c>
      <c r="Z54" s="192">
        <f t="shared" si="41"/>
        <v>1718851</v>
      </c>
      <c r="AA54" s="192">
        <f t="shared" si="41"/>
        <v>5467868.3372462364</v>
      </c>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16"/>
      <c r="BE54" s="16"/>
      <c r="BF54" s="16"/>
      <c r="BG54" s="16"/>
      <c r="BH54" s="16"/>
      <c r="BI54" s="16"/>
      <c r="BJ54" s="16"/>
      <c r="BK54" s="16"/>
      <c r="BL54" s="16"/>
      <c r="BM54" s="16"/>
      <c r="BN54" s="16"/>
      <c r="BO54" s="16"/>
      <c r="BP54" s="16"/>
      <c r="BQ54" s="16"/>
      <c r="BR54" s="16"/>
      <c r="BS54" s="16"/>
      <c r="BT54" s="16"/>
      <c r="BU54" s="16"/>
      <c r="BV54" s="16"/>
      <c r="BW54" s="16"/>
      <c r="BX54" s="16"/>
      <c r="BY54" s="16"/>
      <c r="BZ54" s="16"/>
      <c r="CA54" s="16"/>
      <c r="CB54" s="16"/>
      <c r="CC54" s="16"/>
      <c r="CD54" s="16"/>
      <c r="CE54" s="16"/>
      <c r="CF54" s="16"/>
      <c r="CG54" s="16"/>
      <c r="CH54" s="16"/>
      <c r="CI54" s="16"/>
      <c r="CJ54" s="16"/>
      <c r="CK54" s="16"/>
      <c r="CL54" s="16"/>
      <c r="CM54" s="16"/>
      <c r="CN54" s="16"/>
      <c r="CO54" s="16"/>
      <c r="CP54" s="16"/>
      <c r="CQ54" s="16"/>
      <c r="CR54" s="16"/>
      <c r="CS54" s="16"/>
      <c r="CT54" s="16"/>
      <c r="CU54" s="16"/>
      <c r="CV54" s="16"/>
      <c r="CW54" s="16"/>
      <c r="CX54" s="16"/>
      <c r="CY54" s="16"/>
      <c r="CZ54" s="16"/>
      <c r="DA54" s="16"/>
      <c r="DB54" s="16"/>
      <c r="DC54" s="16"/>
      <c r="DD54" s="16"/>
      <c r="DE54" s="16"/>
      <c r="DF54" s="16"/>
      <c r="DG54" s="16"/>
      <c r="DH54" s="16"/>
      <c r="DI54" s="16"/>
      <c r="DJ54" s="16"/>
      <c r="DK54" s="16"/>
      <c r="DL54" s="16"/>
      <c r="DM54" s="16"/>
      <c r="DN54" s="16"/>
      <c r="DO54" s="16"/>
      <c r="DP54" s="16"/>
      <c r="DQ54" s="16"/>
      <c r="DR54" s="16"/>
      <c r="DS54" s="16"/>
      <c r="DT54" s="16"/>
      <c r="DU54" s="16"/>
      <c r="DV54" s="16"/>
      <c r="DW54" s="16"/>
      <c r="DX54" s="16"/>
      <c r="DY54" s="16"/>
      <c r="DZ54" s="16"/>
      <c r="EA54" s="16"/>
      <c r="EB54" s="16"/>
      <c r="EC54" s="16"/>
      <c r="ED54" s="16"/>
      <c r="EE54" s="16"/>
      <c r="EF54" s="16"/>
      <c r="EG54" s="16"/>
      <c r="EH54" s="16"/>
      <c r="EI54" s="16"/>
      <c r="EJ54" s="16"/>
      <c r="EK54" s="16"/>
      <c r="EL54" s="16"/>
      <c r="EM54" s="16"/>
      <c r="EN54" s="16"/>
      <c r="EO54" s="16"/>
      <c r="EP54" s="16"/>
      <c r="EQ54" s="16"/>
      <c r="ER54" s="16"/>
      <c r="ES54" s="16"/>
      <c r="ET54" s="16"/>
      <c r="EU54" s="16"/>
      <c r="EV54" s="16"/>
      <c r="EW54" s="16"/>
      <c r="EX54" s="16"/>
      <c r="EY54" s="16"/>
      <c r="EZ54" s="16"/>
      <c r="FA54" s="16"/>
      <c r="FB54" s="16"/>
      <c r="FC54" s="16"/>
      <c r="FD54" s="16"/>
      <c r="FE54" s="16"/>
      <c r="FF54" s="16"/>
      <c r="FG54" s="16"/>
      <c r="FH54" s="16"/>
      <c r="FI54" s="16"/>
      <c r="FJ54" s="16"/>
      <c r="FK54" s="16"/>
      <c r="FL54" s="16"/>
      <c r="FM54" s="16"/>
      <c r="FN54" s="16"/>
      <c r="FO54" s="16"/>
      <c r="FP54" s="16"/>
      <c r="FQ54" s="16"/>
      <c r="FR54" s="16"/>
      <c r="FS54" s="16"/>
      <c r="FT54" s="16"/>
      <c r="FU54" s="16"/>
      <c r="FV54" s="16"/>
      <c r="FW54" s="16"/>
      <c r="FX54" s="16"/>
      <c r="FY54" s="16"/>
      <c r="FZ54" s="16"/>
      <c r="GA54" s="16"/>
      <c r="GB54" s="16"/>
      <c r="GC54" s="16"/>
      <c r="GD54" s="16"/>
      <c r="GE54" s="16"/>
      <c r="GF54" s="16"/>
      <c r="GG54" s="16"/>
      <c r="GH54" s="16"/>
      <c r="GI54" s="16"/>
      <c r="GJ54" s="16"/>
      <c r="GK54" s="16"/>
      <c r="GL54" s="16"/>
      <c r="GM54" s="16"/>
      <c r="GN54" s="16"/>
      <c r="GO54" s="16"/>
      <c r="GP54" s="16"/>
      <c r="GQ54" s="16"/>
      <c r="GR54" s="16"/>
      <c r="GS54" s="16"/>
      <c r="GT54" s="16"/>
      <c r="GU54" s="16"/>
      <c r="GV54" s="16"/>
      <c r="GW54" s="16"/>
      <c r="GX54" s="16"/>
      <c r="GY54" s="16"/>
      <c r="GZ54" s="16"/>
      <c r="HA54" s="16"/>
      <c r="HB54" s="16"/>
      <c r="HC54" s="16"/>
      <c r="HD54" s="16"/>
      <c r="HE54" s="16"/>
      <c r="HF54" s="16"/>
      <c r="HG54" s="16"/>
      <c r="HH54" s="16"/>
      <c r="HI54" s="16"/>
      <c r="HJ54" s="16"/>
      <c r="HK54" s="16"/>
      <c r="HL54" s="16"/>
      <c r="HM54" s="16"/>
      <c r="HN54" s="16"/>
      <c r="HO54" s="16"/>
      <c r="HP54" s="16"/>
      <c r="HQ54" s="16"/>
      <c r="HR54" s="16"/>
      <c r="HS54" s="16"/>
      <c r="HT54" s="16"/>
      <c r="HU54" s="16"/>
      <c r="HV54" s="16"/>
      <c r="HW54" s="16"/>
      <c r="HX54" s="16"/>
      <c r="HY54" s="16"/>
      <c r="HZ54" s="16"/>
      <c r="IA54" s="16"/>
      <c r="IB54" s="16"/>
      <c r="IC54" s="16"/>
      <c r="ID54" s="16"/>
      <c r="IE54" s="16"/>
    </row>
    <row r="55" spans="1:239" ht="21.75" customHeight="1" thickBot="1" x14ac:dyDescent="0.3">
      <c r="A55" s="8"/>
      <c r="B55" s="193"/>
      <c r="C55" s="184" t="s">
        <v>218</v>
      </c>
      <c r="D55" s="180">
        <f t="shared" ref="D55:W55" si="42">SUM(D52:D54)</f>
        <v>22314798.230291616</v>
      </c>
      <c r="E55" s="180">
        <f t="shared" si="42"/>
        <v>12884689.109999999</v>
      </c>
      <c r="F55" s="180">
        <f t="shared" si="42"/>
        <v>14148695.550000001</v>
      </c>
      <c r="G55" s="180">
        <f t="shared" si="42"/>
        <v>49348182.890291616</v>
      </c>
      <c r="H55" s="180">
        <f t="shared" si="42"/>
        <v>23467632.219999999</v>
      </c>
      <c r="I55" s="180">
        <f t="shared" si="42"/>
        <v>17873099.890000001</v>
      </c>
      <c r="J55" s="180">
        <f t="shared" si="42"/>
        <v>16898462.800000001</v>
      </c>
      <c r="K55" s="180">
        <f t="shared" si="42"/>
        <v>58239194.909999989</v>
      </c>
      <c r="L55" s="180">
        <f t="shared" si="42"/>
        <v>17880930.993858557</v>
      </c>
      <c r="M55" s="180">
        <f t="shared" si="42"/>
        <v>14816121.033924829</v>
      </c>
      <c r="N55" s="180">
        <f t="shared" si="42"/>
        <v>12180927.706089582</v>
      </c>
      <c r="O55" s="180">
        <f t="shared" si="42"/>
        <v>44877979.733872972</v>
      </c>
      <c r="P55" s="180">
        <f t="shared" si="42"/>
        <v>23568352.973858561</v>
      </c>
      <c r="Q55" s="180">
        <f t="shared" si="42"/>
        <v>16381537.071539544</v>
      </c>
      <c r="R55" s="180">
        <f t="shared" si="42"/>
        <v>14692510.807485139</v>
      </c>
      <c r="S55" s="180">
        <f t="shared" si="42"/>
        <v>54642400.852883235</v>
      </c>
      <c r="T55" s="180">
        <f t="shared" si="42"/>
        <v>23939116.98277292</v>
      </c>
      <c r="U55" s="180">
        <f t="shared" si="42"/>
        <v>16450030.335762233</v>
      </c>
      <c r="V55" s="180">
        <f t="shared" si="42"/>
        <v>14841752.11329576</v>
      </c>
      <c r="W55" s="180">
        <f t="shared" si="42"/>
        <v>55230899.431830905</v>
      </c>
      <c r="X55" s="180">
        <f t="shared" ref="X55:AA55" si="43">SUM(X52:X54)</f>
        <v>24015214.559476275</v>
      </c>
      <c r="Y55" s="180">
        <f t="shared" si="43"/>
        <v>16518809.592932733</v>
      </c>
      <c r="Z55" s="180">
        <f t="shared" si="43"/>
        <v>14992509.561752085</v>
      </c>
      <c r="AA55" s="180">
        <f t="shared" si="43"/>
        <v>55526533.714161098</v>
      </c>
      <c r="AB55" s="13"/>
      <c r="AC55" s="13"/>
      <c r="AD55" s="13"/>
      <c r="AE55" s="13"/>
      <c r="AF55" s="13"/>
      <c r="AG55" s="13"/>
      <c r="AH55" s="13"/>
      <c r="AI55" s="13"/>
      <c r="AJ55" s="13"/>
      <c r="AK55" s="13"/>
      <c r="AL55" s="13"/>
      <c r="AM55" s="13"/>
      <c r="AN55" s="13"/>
      <c r="AO55" s="13"/>
      <c r="AP55" s="13"/>
      <c r="AQ55" s="13"/>
      <c r="AR55" s="13"/>
      <c r="AS55" s="13"/>
      <c r="AT55" s="13"/>
      <c r="AU55" s="13"/>
      <c r="AV55" s="13"/>
      <c r="AW55" s="13"/>
      <c r="AX55" s="13"/>
      <c r="AY55" s="13"/>
      <c r="AZ55" s="13"/>
      <c r="BA55" s="13"/>
      <c r="BB55" s="13"/>
      <c r="BC55" s="13"/>
      <c r="BD55" s="13"/>
      <c r="BE55" s="13"/>
      <c r="BF55" s="13"/>
      <c r="BG55" s="13"/>
      <c r="BH55" s="13"/>
      <c r="BI55" s="13"/>
      <c r="BJ55" s="13"/>
      <c r="BK55" s="13"/>
      <c r="BL55" s="13"/>
      <c r="BM55" s="13"/>
      <c r="BN55" s="13"/>
      <c r="BO55" s="13"/>
      <c r="BP55" s="13"/>
      <c r="BQ55" s="13"/>
      <c r="BR55" s="13"/>
      <c r="BS55" s="13"/>
      <c r="BT55" s="13"/>
      <c r="BU55" s="13"/>
      <c r="BV55" s="13"/>
      <c r="BW55" s="13"/>
      <c r="BX55" s="13"/>
      <c r="BY55" s="13"/>
      <c r="BZ55" s="13"/>
      <c r="CA55" s="13"/>
      <c r="CB55" s="13"/>
      <c r="CC55" s="13"/>
      <c r="CD55" s="13"/>
      <c r="CE55" s="13"/>
      <c r="CF55" s="13"/>
      <c r="CG55" s="13"/>
      <c r="CH55" s="13"/>
      <c r="CI55" s="13"/>
      <c r="CJ55" s="13"/>
      <c r="CK55" s="13"/>
      <c r="CL55" s="13"/>
      <c r="CM55" s="13"/>
      <c r="CN55" s="13"/>
      <c r="CO55" s="13"/>
      <c r="CP55" s="13"/>
      <c r="CQ55" s="13"/>
      <c r="CR55" s="13"/>
      <c r="CS55" s="13"/>
      <c r="CT55" s="13"/>
      <c r="CU55" s="13"/>
      <c r="CV55" s="13"/>
      <c r="CW55" s="13"/>
      <c r="CX55" s="13"/>
      <c r="CY55" s="13"/>
      <c r="CZ55" s="13"/>
      <c r="DA55" s="13"/>
      <c r="DB55" s="13"/>
      <c r="DC55" s="13"/>
      <c r="DD55" s="13"/>
      <c r="DE55" s="13"/>
      <c r="DF55" s="13"/>
      <c r="DG55" s="13"/>
      <c r="DH55" s="13"/>
      <c r="DI55" s="13"/>
      <c r="DJ55" s="13"/>
      <c r="DK55" s="13"/>
      <c r="DL55" s="13"/>
      <c r="DM55" s="13"/>
      <c r="DN55" s="13"/>
      <c r="DO55" s="13"/>
      <c r="DP55" s="13"/>
      <c r="DQ55" s="13"/>
      <c r="DR55" s="13"/>
      <c r="DS55" s="13"/>
      <c r="DT55" s="13"/>
      <c r="DU55" s="13"/>
      <c r="DV55" s="13"/>
      <c r="DW55" s="13"/>
      <c r="DX55" s="13"/>
      <c r="DY55" s="13"/>
      <c r="DZ55" s="13"/>
      <c r="EA55" s="13"/>
      <c r="EB55" s="13"/>
      <c r="EC55" s="13"/>
      <c r="ED55" s="13"/>
      <c r="EE55" s="13"/>
      <c r="EF55" s="13"/>
      <c r="EG55" s="13"/>
      <c r="EH55" s="13"/>
      <c r="EI55" s="13"/>
      <c r="EJ55" s="13"/>
      <c r="EK55" s="13"/>
      <c r="EL55" s="13"/>
      <c r="EM55" s="13"/>
      <c r="EN55" s="13"/>
      <c r="EO55" s="13"/>
      <c r="EP55" s="13"/>
      <c r="EQ55" s="13"/>
      <c r="ER55" s="13"/>
      <c r="ES55" s="13"/>
      <c r="ET55" s="13"/>
      <c r="EU55" s="13"/>
      <c r="EV55" s="13"/>
      <c r="EW55" s="13"/>
      <c r="EX55" s="13"/>
      <c r="EY55" s="13"/>
      <c r="EZ55" s="13"/>
      <c r="FA55" s="13"/>
      <c r="FB55" s="13"/>
      <c r="FC55" s="13"/>
      <c r="FD55" s="13"/>
      <c r="FE55" s="13"/>
      <c r="FF55" s="13"/>
      <c r="FG55" s="13"/>
      <c r="FH55" s="13"/>
      <c r="FI55" s="13"/>
      <c r="FJ55" s="13"/>
      <c r="FK55" s="13"/>
      <c r="FL55" s="13"/>
      <c r="FM55" s="13"/>
      <c r="FN55" s="13"/>
      <c r="FO55" s="13"/>
      <c r="FP55" s="13"/>
      <c r="FQ55" s="13"/>
      <c r="FR55" s="13"/>
      <c r="FS55" s="13"/>
      <c r="FT55" s="13"/>
      <c r="FU55" s="13"/>
      <c r="FV55" s="13"/>
      <c r="FW55" s="13"/>
      <c r="FX55" s="13"/>
      <c r="FY55" s="13"/>
      <c r="FZ55" s="13"/>
      <c r="GA55" s="13"/>
      <c r="GB55" s="13"/>
      <c r="GC55" s="13"/>
      <c r="GD55" s="13"/>
      <c r="GE55" s="13"/>
      <c r="GF55" s="13"/>
      <c r="GG55" s="13"/>
      <c r="GH55" s="13"/>
      <c r="GI55" s="13"/>
      <c r="GJ55" s="13"/>
      <c r="GK55" s="13"/>
      <c r="GL55" s="13"/>
      <c r="GM55" s="13"/>
      <c r="GN55" s="13"/>
      <c r="GO55" s="13"/>
      <c r="GP55" s="13"/>
      <c r="GQ55" s="13"/>
      <c r="GR55" s="13"/>
      <c r="GS55" s="13"/>
      <c r="GT55" s="13"/>
      <c r="GU55" s="13"/>
      <c r="GV55" s="13"/>
      <c r="GW55" s="13"/>
      <c r="GX55" s="13"/>
      <c r="GY55" s="13"/>
      <c r="GZ55" s="13"/>
      <c r="HA55" s="13"/>
      <c r="HB55" s="13"/>
      <c r="HC55" s="13"/>
      <c r="HD55" s="13"/>
      <c r="HE55" s="13"/>
      <c r="HF55" s="13"/>
      <c r="HG55" s="13"/>
      <c r="HH55" s="13"/>
      <c r="HI55" s="13"/>
      <c r="HJ55" s="13"/>
      <c r="HK55" s="13"/>
      <c r="HL55" s="13"/>
      <c r="HM55" s="13"/>
      <c r="HN55" s="13"/>
      <c r="HO55" s="13"/>
      <c r="HP55" s="13"/>
      <c r="HQ55" s="13"/>
      <c r="HR55" s="13"/>
      <c r="HS55" s="13"/>
      <c r="HT55" s="13"/>
      <c r="HU55" s="13"/>
      <c r="HV55" s="13"/>
      <c r="HW55" s="13"/>
      <c r="HX55" s="13"/>
      <c r="HY55" s="13"/>
      <c r="HZ55" s="13"/>
      <c r="IA55" s="13"/>
      <c r="IB55" s="13"/>
      <c r="IC55" s="13"/>
      <c r="ID55" s="13"/>
      <c r="IE55" s="13"/>
    </row>
    <row r="56" spans="1:239" x14ac:dyDescent="0.2">
      <c r="C56" s="2"/>
    </row>
    <row r="57" spans="1:239" x14ac:dyDescent="0.2">
      <c r="D57" s="112"/>
      <c r="E57" s="113" t="s">
        <v>5</v>
      </c>
      <c r="F57" s="113" t="s">
        <v>5</v>
      </c>
      <c r="G57" s="112"/>
    </row>
    <row r="58" spans="1:239" x14ac:dyDescent="0.2">
      <c r="C58" s="51"/>
      <c r="D58" s="42"/>
      <c r="E58" s="42"/>
      <c r="F58" s="42"/>
    </row>
    <row r="59" spans="1:239" ht="20.25" x14ac:dyDescent="0.3">
      <c r="C59" s="3"/>
    </row>
  </sheetData>
  <mergeCells count="15">
    <mergeCell ref="C2:G2"/>
    <mergeCell ref="C3:G3"/>
    <mergeCell ref="C4:G4"/>
    <mergeCell ref="L6:O6"/>
    <mergeCell ref="P6:S6"/>
    <mergeCell ref="X6:AA6"/>
    <mergeCell ref="C35:W35"/>
    <mergeCell ref="C40:W40"/>
    <mergeCell ref="C12:W12"/>
    <mergeCell ref="C19:W19"/>
    <mergeCell ref="C29:W29"/>
    <mergeCell ref="C25:W25"/>
    <mergeCell ref="T6:W6"/>
    <mergeCell ref="H6:K6"/>
    <mergeCell ref="D6:G6"/>
  </mergeCells>
  <pageMargins left="0.2" right="0.2" top="0.75" bottom="0.75" header="0.3" footer="0.3"/>
  <pageSetup scale="28" orientation="landscape"/>
  <ignoredErrors>
    <ignoredError sqref="T11" 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69D953-A2AF-4FBB-A5E0-D62C2C3AAC72}">
  <sheetPr>
    <tabColor rgb="FFFFC000"/>
    <pageSetUpPr fitToPage="1"/>
  </sheetPr>
  <dimension ref="B1:P31"/>
  <sheetViews>
    <sheetView showGridLines="0" zoomScale="70" zoomScaleNormal="70" workbookViewId="0">
      <selection activeCell="D34" sqref="D34"/>
    </sheetView>
  </sheetViews>
  <sheetFormatPr defaultRowHeight="12.75" x14ac:dyDescent="0.2"/>
  <cols>
    <col min="1" max="1" width="9.140625" style="395"/>
    <col min="2" max="2" width="68.28515625" style="395" customWidth="1"/>
    <col min="3" max="5" width="20.85546875" style="395" customWidth="1"/>
    <col min="6" max="6" width="20.85546875" style="504" customWidth="1"/>
    <col min="7" max="7" width="3" style="504" hidden="1" customWidth="1"/>
    <col min="8" max="11" width="21" style="395" customWidth="1"/>
    <col min="12" max="258" width="9.140625" style="395"/>
    <col min="259" max="259" width="60.28515625" style="395" customWidth="1"/>
    <col min="260" max="263" width="20.85546875" style="395" customWidth="1"/>
    <col min="264" max="267" width="21" style="395" customWidth="1"/>
    <col min="268" max="514" width="9.140625" style="395"/>
    <col min="515" max="515" width="60.28515625" style="395" customWidth="1"/>
    <col min="516" max="519" width="20.85546875" style="395" customWidth="1"/>
    <col min="520" max="523" width="21" style="395" customWidth="1"/>
    <col min="524" max="770" width="9.140625" style="395"/>
    <col min="771" max="771" width="60.28515625" style="395" customWidth="1"/>
    <col min="772" max="775" width="20.85546875" style="395" customWidth="1"/>
    <col min="776" max="779" width="21" style="395" customWidth="1"/>
    <col min="780" max="1026" width="9.140625" style="395"/>
    <col min="1027" max="1027" width="60.28515625" style="395" customWidth="1"/>
    <col min="1028" max="1031" width="20.85546875" style="395" customWidth="1"/>
    <col min="1032" max="1035" width="21" style="395" customWidth="1"/>
    <col min="1036" max="1282" width="9.140625" style="395"/>
    <col min="1283" max="1283" width="60.28515625" style="395" customWidth="1"/>
    <col min="1284" max="1287" width="20.85546875" style="395" customWidth="1"/>
    <col min="1288" max="1291" width="21" style="395" customWidth="1"/>
    <col min="1292" max="1538" width="9.140625" style="395"/>
    <col min="1539" max="1539" width="60.28515625" style="395" customWidth="1"/>
    <col min="1540" max="1543" width="20.85546875" style="395" customWidth="1"/>
    <col min="1544" max="1547" width="21" style="395" customWidth="1"/>
    <col min="1548" max="1794" width="9.140625" style="395"/>
    <col min="1795" max="1795" width="60.28515625" style="395" customWidth="1"/>
    <col min="1796" max="1799" width="20.85546875" style="395" customWidth="1"/>
    <col min="1800" max="1803" width="21" style="395" customWidth="1"/>
    <col min="1804" max="2050" width="9.140625" style="395"/>
    <col min="2051" max="2051" width="60.28515625" style="395" customWidth="1"/>
    <col min="2052" max="2055" width="20.85546875" style="395" customWidth="1"/>
    <col min="2056" max="2059" width="21" style="395" customWidth="1"/>
    <col min="2060" max="2306" width="9.140625" style="395"/>
    <col min="2307" max="2307" width="60.28515625" style="395" customWidth="1"/>
    <col min="2308" max="2311" width="20.85546875" style="395" customWidth="1"/>
    <col min="2312" max="2315" width="21" style="395" customWidth="1"/>
    <col min="2316" max="2562" width="9.140625" style="395"/>
    <col min="2563" max="2563" width="60.28515625" style="395" customWidth="1"/>
    <col min="2564" max="2567" width="20.85546875" style="395" customWidth="1"/>
    <col min="2568" max="2571" width="21" style="395" customWidth="1"/>
    <col min="2572" max="2818" width="9.140625" style="395"/>
    <col min="2819" max="2819" width="60.28515625" style="395" customWidth="1"/>
    <col min="2820" max="2823" width="20.85546875" style="395" customWidth="1"/>
    <col min="2824" max="2827" width="21" style="395" customWidth="1"/>
    <col min="2828" max="3074" width="9.140625" style="395"/>
    <col min="3075" max="3075" width="60.28515625" style="395" customWidth="1"/>
    <col min="3076" max="3079" width="20.85546875" style="395" customWidth="1"/>
    <col min="3080" max="3083" width="21" style="395" customWidth="1"/>
    <col min="3084" max="3330" width="9.140625" style="395"/>
    <col min="3331" max="3331" width="60.28515625" style="395" customWidth="1"/>
    <col min="3332" max="3335" width="20.85546875" style="395" customWidth="1"/>
    <col min="3336" max="3339" width="21" style="395" customWidth="1"/>
    <col min="3340" max="3586" width="9.140625" style="395"/>
    <col min="3587" max="3587" width="60.28515625" style="395" customWidth="1"/>
    <col min="3588" max="3591" width="20.85546875" style="395" customWidth="1"/>
    <col min="3592" max="3595" width="21" style="395" customWidth="1"/>
    <col min="3596" max="3842" width="9.140625" style="395"/>
    <col min="3843" max="3843" width="60.28515625" style="395" customWidth="1"/>
    <col min="3844" max="3847" width="20.85546875" style="395" customWidth="1"/>
    <col min="3848" max="3851" width="21" style="395" customWidth="1"/>
    <col min="3852" max="4098" width="9.140625" style="395"/>
    <col min="4099" max="4099" width="60.28515625" style="395" customWidth="1"/>
    <col min="4100" max="4103" width="20.85546875" style="395" customWidth="1"/>
    <col min="4104" max="4107" width="21" style="395" customWidth="1"/>
    <col min="4108" max="4354" width="9.140625" style="395"/>
    <col min="4355" max="4355" width="60.28515625" style="395" customWidth="1"/>
    <col min="4356" max="4359" width="20.85546875" style="395" customWidth="1"/>
    <col min="4360" max="4363" width="21" style="395" customWidth="1"/>
    <col min="4364" max="4610" width="9.140625" style="395"/>
    <col min="4611" max="4611" width="60.28515625" style="395" customWidth="1"/>
    <col min="4612" max="4615" width="20.85546875" style="395" customWidth="1"/>
    <col min="4616" max="4619" width="21" style="395" customWidth="1"/>
    <col min="4620" max="4866" width="9.140625" style="395"/>
    <col min="4867" max="4867" width="60.28515625" style="395" customWidth="1"/>
    <col min="4868" max="4871" width="20.85546875" style="395" customWidth="1"/>
    <col min="4872" max="4875" width="21" style="395" customWidth="1"/>
    <col min="4876" max="5122" width="9.140625" style="395"/>
    <col min="5123" max="5123" width="60.28515625" style="395" customWidth="1"/>
    <col min="5124" max="5127" width="20.85546875" style="395" customWidth="1"/>
    <col min="5128" max="5131" width="21" style="395" customWidth="1"/>
    <col min="5132" max="5378" width="9.140625" style="395"/>
    <col min="5379" max="5379" width="60.28515625" style="395" customWidth="1"/>
    <col min="5380" max="5383" width="20.85546875" style="395" customWidth="1"/>
    <col min="5384" max="5387" width="21" style="395" customWidth="1"/>
    <col min="5388" max="5634" width="9.140625" style="395"/>
    <col min="5635" max="5635" width="60.28515625" style="395" customWidth="1"/>
    <col min="5636" max="5639" width="20.85546875" style="395" customWidth="1"/>
    <col min="5640" max="5643" width="21" style="395" customWidth="1"/>
    <col min="5644" max="5890" width="9.140625" style="395"/>
    <col min="5891" max="5891" width="60.28515625" style="395" customWidth="1"/>
    <col min="5892" max="5895" width="20.85546875" style="395" customWidth="1"/>
    <col min="5896" max="5899" width="21" style="395" customWidth="1"/>
    <col min="5900" max="6146" width="9.140625" style="395"/>
    <col min="6147" max="6147" width="60.28515625" style="395" customWidth="1"/>
    <col min="6148" max="6151" width="20.85546875" style="395" customWidth="1"/>
    <col min="6152" max="6155" width="21" style="395" customWidth="1"/>
    <col min="6156" max="6402" width="9.140625" style="395"/>
    <col min="6403" max="6403" width="60.28515625" style="395" customWidth="1"/>
    <col min="6404" max="6407" width="20.85546875" style="395" customWidth="1"/>
    <col min="6408" max="6411" width="21" style="395" customWidth="1"/>
    <col min="6412" max="6658" width="9.140625" style="395"/>
    <col min="6659" max="6659" width="60.28515625" style="395" customWidth="1"/>
    <col min="6660" max="6663" width="20.85546875" style="395" customWidth="1"/>
    <col min="6664" max="6667" width="21" style="395" customWidth="1"/>
    <col min="6668" max="6914" width="9.140625" style="395"/>
    <col min="6915" max="6915" width="60.28515625" style="395" customWidth="1"/>
    <col min="6916" max="6919" width="20.85546875" style="395" customWidth="1"/>
    <col min="6920" max="6923" width="21" style="395" customWidth="1"/>
    <col min="6924" max="7170" width="9.140625" style="395"/>
    <col min="7171" max="7171" width="60.28515625" style="395" customWidth="1"/>
    <col min="7172" max="7175" width="20.85546875" style="395" customWidth="1"/>
    <col min="7176" max="7179" width="21" style="395" customWidth="1"/>
    <col min="7180" max="7426" width="9.140625" style="395"/>
    <col min="7427" max="7427" width="60.28515625" style="395" customWidth="1"/>
    <col min="7428" max="7431" width="20.85546875" style="395" customWidth="1"/>
    <col min="7432" max="7435" width="21" style="395" customWidth="1"/>
    <col min="7436" max="7682" width="9.140625" style="395"/>
    <col min="7683" max="7683" width="60.28515625" style="395" customWidth="1"/>
    <col min="7684" max="7687" width="20.85546875" style="395" customWidth="1"/>
    <col min="7688" max="7691" width="21" style="395" customWidth="1"/>
    <col min="7692" max="7938" width="9.140625" style="395"/>
    <col min="7939" max="7939" width="60.28515625" style="395" customWidth="1"/>
    <col min="7940" max="7943" width="20.85546875" style="395" customWidth="1"/>
    <col min="7944" max="7947" width="21" style="395" customWidth="1"/>
    <col min="7948" max="8194" width="9.140625" style="395"/>
    <col min="8195" max="8195" width="60.28515625" style="395" customWidth="1"/>
    <col min="8196" max="8199" width="20.85546875" style="395" customWidth="1"/>
    <col min="8200" max="8203" width="21" style="395" customWidth="1"/>
    <col min="8204" max="8450" width="9.140625" style="395"/>
    <col min="8451" max="8451" width="60.28515625" style="395" customWidth="1"/>
    <col min="8452" max="8455" width="20.85546875" style="395" customWidth="1"/>
    <col min="8456" max="8459" width="21" style="395" customWidth="1"/>
    <col min="8460" max="8706" width="9.140625" style="395"/>
    <col min="8707" max="8707" width="60.28515625" style="395" customWidth="1"/>
    <col min="8708" max="8711" width="20.85546875" style="395" customWidth="1"/>
    <col min="8712" max="8715" width="21" style="395" customWidth="1"/>
    <col min="8716" max="8962" width="9.140625" style="395"/>
    <col min="8963" max="8963" width="60.28515625" style="395" customWidth="1"/>
    <col min="8964" max="8967" width="20.85546875" style="395" customWidth="1"/>
    <col min="8968" max="8971" width="21" style="395" customWidth="1"/>
    <col min="8972" max="9218" width="9.140625" style="395"/>
    <col min="9219" max="9219" width="60.28515625" style="395" customWidth="1"/>
    <col min="9220" max="9223" width="20.85546875" style="395" customWidth="1"/>
    <col min="9224" max="9227" width="21" style="395" customWidth="1"/>
    <col min="9228" max="9474" width="9.140625" style="395"/>
    <col min="9475" max="9475" width="60.28515625" style="395" customWidth="1"/>
    <col min="9476" max="9479" width="20.85546875" style="395" customWidth="1"/>
    <col min="9480" max="9483" width="21" style="395" customWidth="1"/>
    <col min="9484" max="9730" width="9.140625" style="395"/>
    <col min="9731" max="9731" width="60.28515625" style="395" customWidth="1"/>
    <col min="9732" max="9735" width="20.85546875" style="395" customWidth="1"/>
    <col min="9736" max="9739" width="21" style="395" customWidth="1"/>
    <col min="9740" max="9986" width="9.140625" style="395"/>
    <col min="9987" max="9987" width="60.28515625" style="395" customWidth="1"/>
    <col min="9988" max="9991" width="20.85546875" style="395" customWidth="1"/>
    <col min="9992" max="9995" width="21" style="395" customWidth="1"/>
    <col min="9996" max="10242" width="9.140625" style="395"/>
    <col min="10243" max="10243" width="60.28515625" style="395" customWidth="1"/>
    <col min="10244" max="10247" width="20.85546875" style="395" customWidth="1"/>
    <col min="10248" max="10251" width="21" style="395" customWidth="1"/>
    <col min="10252" max="10498" width="9.140625" style="395"/>
    <col min="10499" max="10499" width="60.28515625" style="395" customWidth="1"/>
    <col min="10500" max="10503" width="20.85546875" style="395" customWidth="1"/>
    <col min="10504" max="10507" width="21" style="395" customWidth="1"/>
    <col min="10508" max="10754" width="9.140625" style="395"/>
    <col min="10755" max="10755" width="60.28515625" style="395" customWidth="1"/>
    <col min="10756" max="10759" width="20.85546875" style="395" customWidth="1"/>
    <col min="10760" max="10763" width="21" style="395" customWidth="1"/>
    <col min="10764" max="11010" width="9.140625" style="395"/>
    <col min="11011" max="11011" width="60.28515625" style="395" customWidth="1"/>
    <col min="11012" max="11015" width="20.85546875" style="395" customWidth="1"/>
    <col min="11016" max="11019" width="21" style="395" customWidth="1"/>
    <col min="11020" max="11266" width="9.140625" style="395"/>
    <col min="11267" max="11267" width="60.28515625" style="395" customWidth="1"/>
    <col min="11268" max="11271" width="20.85546875" style="395" customWidth="1"/>
    <col min="11272" max="11275" width="21" style="395" customWidth="1"/>
    <col min="11276" max="11522" width="9.140625" style="395"/>
    <col min="11523" max="11523" width="60.28515625" style="395" customWidth="1"/>
    <col min="11524" max="11527" width="20.85546875" style="395" customWidth="1"/>
    <col min="11528" max="11531" width="21" style="395" customWidth="1"/>
    <col min="11532" max="11778" width="9.140625" style="395"/>
    <col min="11779" max="11779" width="60.28515625" style="395" customWidth="1"/>
    <col min="11780" max="11783" width="20.85546875" style="395" customWidth="1"/>
    <col min="11784" max="11787" width="21" style="395" customWidth="1"/>
    <col min="11788" max="12034" width="9.140625" style="395"/>
    <col min="12035" max="12035" width="60.28515625" style="395" customWidth="1"/>
    <col min="12036" max="12039" width="20.85546875" style="395" customWidth="1"/>
    <col min="12040" max="12043" width="21" style="395" customWidth="1"/>
    <col min="12044" max="12290" width="9.140625" style="395"/>
    <col min="12291" max="12291" width="60.28515625" style="395" customWidth="1"/>
    <col min="12292" max="12295" width="20.85546875" style="395" customWidth="1"/>
    <col min="12296" max="12299" width="21" style="395" customWidth="1"/>
    <col min="12300" max="12546" width="9.140625" style="395"/>
    <col min="12547" max="12547" width="60.28515625" style="395" customWidth="1"/>
    <col min="12548" max="12551" width="20.85546875" style="395" customWidth="1"/>
    <col min="12552" max="12555" width="21" style="395" customWidth="1"/>
    <col min="12556" max="12802" width="9.140625" style="395"/>
    <col min="12803" max="12803" width="60.28515625" style="395" customWidth="1"/>
    <col min="12804" max="12807" width="20.85546875" style="395" customWidth="1"/>
    <col min="12808" max="12811" width="21" style="395" customWidth="1"/>
    <col min="12812" max="13058" width="9.140625" style="395"/>
    <col min="13059" max="13059" width="60.28515625" style="395" customWidth="1"/>
    <col min="13060" max="13063" width="20.85546875" style="395" customWidth="1"/>
    <col min="13064" max="13067" width="21" style="395" customWidth="1"/>
    <col min="13068" max="13314" width="9.140625" style="395"/>
    <col min="13315" max="13315" width="60.28515625" style="395" customWidth="1"/>
    <col min="13316" max="13319" width="20.85546875" style="395" customWidth="1"/>
    <col min="13320" max="13323" width="21" style="395" customWidth="1"/>
    <col min="13324" max="13570" width="9.140625" style="395"/>
    <col min="13571" max="13571" width="60.28515625" style="395" customWidth="1"/>
    <col min="13572" max="13575" width="20.85546875" style="395" customWidth="1"/>
    <col min="13576" max="13579" width="21" style="395" customWidth="1"/>
    <col min="13580" max="13826" width="9.140625" style="395"/>
    <col min="13827" max="13827" width="60.28515625" style="395" customWidth="1"/>
    <col min="13828" max="13831" width="20.85546875" style="395" customWidth="1"/>
    <col min="13832" max="13835" width="21" style="395" customWidth="1"/>
    <col min="13836" max="14082" width="9.140625" style="395"/>
    <col min="14083" max="14083" width="60.28515625" style="395" customWidth="1"/>
    <col min="14084" max="14087" width="20.85546875" style="395" customWidth="1"/>
    <col min="14088" max="14091" width="21" style="395" customWidth="1"/>
    <col min="14092" max="14338" width="9.140625" style="395"/>
    <col min="14339" max="14339" width="60.28515625" style="395" customWidth="1"/>
    <col min="14340" max="14343" width="20.85546875" style="395" customWidth="1"/>
    <col min="14344" max="14347" width="21" style="395" customWidth="1"/>
    <col min="14348" max="14594" width="9.140625" style="395"/>
    <col min="14595" max="14595" width="60.28515625" style="395" customWidth="1"/>
    <col min="14596" max="14599" width="20.85546875" style="395" customWidth="1"/>
    <col min="14600" max="14603" width="21" style="395" customWidth="1"/>
    <col min="14604" max="14850" width="9.140625" style="395"/>
    <col min="14851" max="14851" width="60.28515625" style="395" customWidth="1"/>
    <col min="14852" max="14855" width="20.85546875" style="395" customWidth="1"/>
    <col min="14856" max="14859" width="21" style="395" customWidth="1"/>
    <col min="14860" max="15106" width="9.140625" style="395"/>
    <col min="15107" max="15107" width="60.28515625" style="395" customWidth="1"/>
    <col min="15108" max="15111" width="20.85546875" style="395" customWidth="1"/>
    <col min="15112" max="15115" width="21" style="395" customWidth="1"/>
    <col min="15116" max="15362" width="9.140625" style="395"/>
    <col min="15363" max="15363" width="60.28515625" style="395" customWidth="1"/>
    <col min="15364" max="15367" width="20.85546875" style="395" customWidth="1"/>
    <col min="15368" max="15371" width="21" style="395" customWidth="1"/>
    <col min="15372" max="15618" width="9.140625" style="395"/>
    <col min="15619" max="15619" width="60.28515625" style="395" customWidth="1"/>
    <col min="15620" max="15623" width="20.85546875" style="395" customWidth="1"/>
    <col min="15624" max="15627" width="21" style="395" customWidth="1"/>
    <col min="15628" max="15874" width="9.140625" style="395"/>
    <col min="15875" max="15875" width="60.28515625" style="395" customWidth="1"/>
    <col min="15876" max="15879" width="20.85546875" style="395" customWidth="1"/>
    <col min="15880" max="15883" width="21" style="395" customWidth="1"/>
    <col min="15884" max="16130" width="9.140625" style="395"/>
    <col min="16131" max="16131" width="60.28515625" style="395" customWidth="1"/>
    <col min="16132" max="16135" width="20.85546875" style="395" customWidth="1"/>
    <col min="16136" max="16139" width="21" style="395" customWidth="1"/>
    <col min="16140" max="16384" width="9.140625" style="395"/>
  </cols>
  <sheetData>
    <row r="1" spans="2:16" ht="23.25" x14ac:dyDescent="0.35">
      <c r="B1" s="545"/>
      <c r="C1" s="545"/>
      <c r="D1" s="545"/>
      <c r="E1" s="545"/>
      <c r="F1" s="545"/>
      <c r="G1" s="502"/>
    </row>
    <row r="2" spans="2:16" ht="20.25" customHeight="1" x14ac:dyDescent="0.35">
      <c r="B2" s="593" t="s">
        <v>90</v>
      </c>
      <c r="C2" s="593"/>
      <c r="D2" s="593"/>
      <c r="E2" s="593"/>
      <c r="F2" s="593"/>
      <c r="G2" s="593"/>
      <c r="H2" s="593"/>
      <c r="I2" s="593"/>
      <c r="J2" s="593"/>
      <c r="K2" s="593"/>
      <c r="L2" s="5"/>
      <c r="M2" s="5"/>
    </row>
    <row r="3" spans="2:16" ht="20.25" customHeight="1" x14ac:dyDescent="0.35">
      <c r="B3" s="593" t="s">
        <v>104</v>
      </c>
      <c r="C3" s="593"/>
      <c r="D3" s="593"/>
      <c r="E3" s="593"/>
      <c r="F3" s="593"/>
      <c r="G3" s="593"/>
      <c r="H3" s="593"/>
      <c r="I3" s="593"/>
      <c r="J3" s="593"/>
      <c r="K3" s="593"/>
    </row>
    <row r="4" spans="2:16" ht="20.25" customHeight="1" x14ac:dyDescent="0.35">
      <c r="B4" s="593" t="s">
        <v>353</v>
      </c>
      <c r="C4" s="593"/>
      <c r="D4" s="593"/>
      <c r="E4" s="593"/>
      <c r="F4" s="593"/>
      <c r="G4" s="593"/>
      <c r="H4" s="593"/>
      <c r="I4" s="593"/>
      <c r="J4" s="593"/>
      <c r="K4" s="593"/>
    </row>
    <row r="5" spans="2:16" ht="21" thickBot="1" x14ac:dyDescent="0.35">
      <c r="C5" s="594"/>
      <c r="D5" s="594"/>
      <c r="E5" s="594"/>
      <c r="F5" s="594"/>
      <c r="G5" s="503"/>
      <c r="H5" s="594"/>
      <c r="I5" s="594"/>
      <c r="J5" s="594"/>
      <c r="K5" s="594"/>
    </row>
    <row r="6" spans="2:16" s="7" customFormat="1" ht="17.25" customHeight="1" x14ac:dyDescent="0.25">
      <c r="B6" s="213"/>
      <c r="C6" s="421">
        <v>2022</v>
      </c>
      <c r="D6" s="421">
        <v>2022</v>
      </c>
      <c r="E6" s="421">
        <v>2022</v>
      </c>
      <c r="F6" s="421">
        <v>2022</v>
      </c>
      <c r="G6" s="214"/>
      <c r="H6" s="421">
        <v>2023</v>
      </c>
      <c r="I6" s="421">
        <f>H6</f>
        <v>2023</v>
      </c>
      <c r="J6" s="421">
        <f>I6</f>
        <v>2023</v>
      </c>
      <c r="K6" s="421">
        <f>J6</f>
        <v>2023</v>
      </c>
    </row>
    <row r="7" spans="2:16" ht="37.5" customHeight="1" x14ac:dyDescent="0.3">
      <c r="B7" s="215"/>
      <c r="C7" s="216" t="s">
        <v>102</v>
      </c>
      <c r="D7" s="216" t="s">
        <v>45</v>
      </c>
      <c r="E7" s="216" t="s">
        <v>46</v>
      </c>
      <c r="F7" s="217" t="s">
        <v>47</v>
      </c>
      <c r="G7" s="217"/>
      <c r="H7" s="422" t="s">
        <v>102</v>
      </c>
      <c r="I7" s="422" t="s">
        <v>45</v>
      </c>
      <c r="J7" s="422" t="s">
        <v>46</v>
      </c>
      <c r="K7" s="423" t="s">
        <v>47</v>
      </c>
      <c r="P7" s="427" t="s">
        <v>5</v>
      </c>
    </row>
    <row r="8" spans="2:16" ht="51" customHeight="1" x14ac:dyDescent="0.25">
      <c r="B8" s="216" t="s">
        <v>138</v>
      </c>
      <c r="C8" s="216" t="s">
        <v>91</v>
      </c>
      <c r="D8" s="216" t="s">
        <v>91</v>
      </c>
      <c r="E8" s="216" t="s">
        <v>91</v>
      </c>
      <c r="F8" s="216" t="s">
        <v>103</v>
      </c>
      <c r="G8" s="216"/>
      <c r="H8" s="422" t="s">
        <v>91</v>
      </c>
      <c r="I8" s="422" t="s">
        <v>91</v>
      </c>
      <c r="J8" s="422" t="s">
        <v>91</v>
      </c>
      <c r="K8" s="422" t="s">
        <v>103</v>
      </c>
    </row>
    <row r="9" spans="2:16" ht="18" customHeight="1" thickBot="1" x14ac:dyDescent="0.3">
      <c r="B9" s="218"/>
      <c r="C9" s="219" t="s">
        <v>328</v>
      </c>
      <c r="D9" s="219" t="s">
        <v>328</v>
      </c>
      <c r="E9" s="219" t="s">
        <v>328</v>
      </c>
      <c r="F9" s="220" t="s">
        <v>42</v>
      </c>
      <c r="G9" s="220"/>
      <c r="H9" s="424" t="s">
        <v>350</v>
      </c>
      <c r="I9" s="424" t="s">
        <v>350</v>
      </c>
      <c r="J9" s="424" t="s">
        <v>350</v>
      </c>
      <c r="K9" s="425" t="s">
        <v>42</v>
      </c>
    </row>
    <row r="10" spans="2:16" s="396" customFormat="1" ht="33.75" customHeight="1" thickBot="1" x14ac:dyDescent="0.3">
      <c r="B10" s="205" t="s">
        <v>92</v>
      </c>
      <c r="C10" s="208">
        <v>23884574</v>
      </c>
      <c r="D10" s="209">
        <v>16359809</v>
      </c>
      <c r="E10" s="209">
        <v>14460200</v>
      </c>
      <c r="F10" s="207">
        <f t="shared" ref="F10:F13" si="0">SUM(C10:E10)</f>
        <v>54704583</v>
      </c>
      <c r="G10" s="204"/>
      <c r="H10" s="208">
        <v>23568353</v>
      </c>
      <c r="I10" s="209">
        <v>16381537.07</v>
      </c>
      <c r="J10" s="206">
        <v>14692511</v>
      </c>
      <c r="K10" s="207">
        <f>SUM(H10:J10)</f>
        <v>54642401.07</v>
      </c>
    </row>
    <row r="11" spans="2:16" s="396" customFormat="1" ht="27" customHeight="1" thickBot="1" x14ac:dyDescent="0.3">
      <c r="B11" s="205" t="s">
        <v>203</v>
      </c>
      <c r="C11" s="206">
        <f>-3201682-3023</f>
        <v>-3204705</v>
      </c>
      <c r="D11" s="206">
        <v>-681920.62</v>
      </c>
      <c r="E11" s="206">
        <v>-555037.66</v>
      </c>
      <c r="F11" s="207">
        <f t="shared" si="0"/>
        <v>-4441663.28</v>
      </c>
      <c r="G11" s="204"/>
      <c r="H11" s="206"/>
      <c r="I11" s="206"/>
      <c r="J11" s="206"/>
      <c r="K11" s="207">
        <f t="shared" ref="K11:K14" si="1">SUM(H11:J11)</f>
        <v>0</v>
      </c>
    </row>
    <row r="12" spans="2:16" s="396" customFormat="1" ht="27" customHeight="1" thickBot="1" x14ac:dyDescent="0.3">
      <c r="B12" s="205" t="s">
        <v>204</v>
      </c>
      <c r="C12" s="206">
        <f>-2796749-2189</f>
        <v>-2798938</v>
      </c>
      <c r="D12" s="206">
        <v>-1121804.3500000001</v>
      </c>
      <c r="E12" s="206">
        <v>-1805044.64</v>
      </c>
      <c r="F12" s="207">
        <f t="shared" si="0"/>
        <v>-5725786.9900000002</v>
      </c>
      <c r="G12" s="204"/>
      <c r="H12" s="206"/>
      <c r="I12" s="206"/>
      <c r="J12" s="206"/>
      <c r="K12" s="207">
        <f t="shared" si="1"/>
        <v>0</v>
      </c>
    </row>
    <row r="13" spans="2:16" s="396" customFormat="1" ht="21.75" customHeight="1" thickBot="1" x14ac:dyDescent="0.3">
      <c r="B13" s="205" t="s">
        <v>255</v>
      </c>
      <c r="C13" s="206">
        <v>0</v>
      </c>
      <c r="D13" s="206">
        <v>260037</v>
      </c>
      <c r="E13" s="206">
        <v>80810</v>
      </c>
      <c r="F13" s="207">
        <f t="shared" si="0"/>
        <v>340847</v>
      </c>
      <c r="G13" s="204"/>
      <c r="H13" s="206"/>
      <c r="I13" s="206"/>
      <c r="J13" s="206"/>
      <c r="K13" s="207">
        <f t="shared" si="1"/>
        <v>0</v>
      </c>
    </row>
    <row r="14" spans="2:16" ht="26.25" customHeight="1" thickBot="1" x14ac:dyDescent="0.3">
      <c r="B14" s="176" t="s">
        <v>93</v>
      </c>
      <c r="C14" s="180">
        <f>SUM(C10:C13)</f>
        <v>17880931</v>
      </c>
      <c r="D14" s="180">
        <f>SUM(D10:D13)</f>
        <v>14816121.030000001</v>
      </c>
      <c r="E14" s="180">
        <f>SUM(E10:E13)</f>
        <v>12180927.699999999</v>
      </c>
      <c r="F14" s="180">
        <f t="shared" ref="F14" si="2">SUM(C14:E14)</f>
        <v>44877979.730000004</v>
      </c>
      <c r="G14" s="211"/>
      <c r="H14" s="180">
        <f>SUM(H10:H13)</f>
        <v>23568353</v>
      </c>
      <c r="I14" s="180">
        <f>SUM(I10:I13)</f>
        <v>16381537.07</v>
      </c>
      <c r="J14" s="180">
        <f>SUM(J10:J13)</f>
        <v>14692511</v>
      </c>
      <c r="K14" s="180">
        <f t="shared" si="1"/>
        <v>54642401.07</v>
      </c>
    </row>
    <row r="15" spans="2:16" ht="18" x14ac:dyDescent="0.25">
      <c r="B15" s="197"/>
      <c r="C15" s="196"/>
      <c r="D15" s="196"/>
      <c r="E15" s="196"/>
      <c r="F15" s="210"/>
      <c r="G15" s="210"/>
      <c r="H15" s="196"/>
      <c r="I15" s="196"/>
      <c r="J15" s="196"/>
      <c r="K15" s="196"/>
    </row>
    <row r="16" spans="2:16" ht="18.75" thickBot="1" x14ac:dyDescent="0.3">
      <c r="B16" s="197"/>
      <c r="C16" s="197"/>
      <c r="D16" s="197"/>
      <c r="E16" s="197"/>
      <c r="F16" s="198"/>
      <c r="G16" s="198"/>
      <c r="H16" s="197"/>
      <c r="I16" s="197"/>
      <c r="J16" s="197"/>
      <c r="K16" s="197"/>
    </row>
    <row r="17" spans="2:12" s="7" customFormat="1" ht="17.25" customHeight="1" x14ac:dyDescent="0.25">
      <c r="B17" s="163"/>
      <c r="C17" s="421">
        <v>2024</v>
      </c>
      <c r="D17" s="421">
        <f>C17</f>
        <v>2024</v>
      </c>
      <c r="E17" s="421">
        <f>D17</f>
        <v>2024</v>
      </c>
      <c r="F17" s="421">
        <f>E17</f>
        <v>2024</v>
      </c>
      <c r="G17" s="426"/>
      <c r="H17" s="421">
        <v>2025</v>
      </c>
      <c r="I17" s="421">
        <v>2025</v>
      </c>
      <c r="J17" s="421">
        <v>2025</v>
      </c>
      <c r="K17" s="421">
        <v>2025</v>
      </c>
    </row>
    <row r="18" spans="2:12" ht="37.5" customHeight="1" x14ac:dyDescent="0.25">
      <c r="B18" s="167"/>
      <c r="C18" s="422" t="s">
        <v>102</v>
      </c>
      <c r="D18" s="422" t="s">
        <v>45</v>
      </c>
      <c r="E18" s="422" t="s">
        <v>46</v>
      </c>
      <c r="F18" s="423" t="s">
        <v>47</v>
      </c>
      <c r="G18" s="423"/>
      <c r="H18" s="422" t="s">
        <v>102</v>
      </c>
      <c r="I18" s="422" t="s">
        <v>45</v>
      </c>
      <c r="J18" s="422" t="s">
        <v>46</v>
      </c>
      <c r="K18" s="423" t="s">
        <v>47</v>
      </c>
    </row>
    <row r="19" spans="2:12" ht="38.25" customHeight="1" x14ac:dyDescent="0.25">
      <c r="B19" s="168" t="s">
        <v>138</v>
      </c>
      <c r="C19" s="422" t="s">
        <v>91</v>
      </c>
      <c r="D19" s="422" t="s">
        <v>91</v>
      </c>
      <c r="E19" s="422" t="s">
        <v>91</v>
      </c>
      <c r="F19" s="422" t="s">
        <v>103</v>
      </c>
      <c r="G19" s="422"/>
      <c r="H19" s="422" t="s">
        <v>91</v>
      </c>
      <c r="I19" s="422" t="s">
        <v>91</v>
      </c>
      <c r="J19" s="422" t="s">
        <v>91</v>
      </c>
      <c r="K19" s="422" t="s">
        <v>103</v>
      </c>
    </row>
    <row r="20" spans="2:12" ht="18" customHeight="1" thickBot="1" x14ac:dyDescent="0.3">
      <c r="B20" s="174"/>
      <c r="C20" s="424" t="s">
        <v>350</v>
      </c>
      <c r="D20" s="424" t="s">
        <v>350</v>
      </c>
      <c r="E20" s="424" t="s">
        <v>350</v>
      </c>
      <c r="F20" s="425" t="s">
        <v>42</v>
      </c>
      <c r="G20" s="423"/>
      <c r="H20" s="424" t="s">
        <v>350</v>
      </c>
      <c r="I20" s="424" t="s">
        <v>350</v>
      </c>
      <c r="J20" s="424" t="s">
        <v>350</v>
      </c>
      <c r="K20" s="425" t="s">
        <v>42</v>
      </c>
    </row>
    <row r="21" spans="2:12" s="396" customFormat="1" ht="26.25" customHeight="1" thickBot="1" x14ac:dyDescent="0.3">
      <c r="B21" s="177" t="s">
        <v>92</v>
      </c>
      <c r="C21" s="208">
        <v>23939117</v>
      </c>
      <c r="D21" s="206">
        <v>16450030.33</v>
      </c>
      <c r="E21" s="206">
        <v>14841752</v>
      </c>
      <c r="F21" s="207">
        <f>SUM(C21:E21)</f>
        <v>55230899.329999998</v>
      </c>
      <c r="G21" s="204"/>
      <c r="H21" s="208">
        <v>24015214</v>
      </c>
      <c r="I21" s="206">
        <v>16518810</v>
      </c>
      <c r="J21" s="206">
        <v>14992509</v>
      </c>
      <c r="K21" s="207">
        <f>SUM(H21:J21)</f>
        <v>55526533</v>
      </c>
    </row>
    <row r="22" spans="2:12" ht="24" customHeight="1" thickBot="1" x14ac:dyDescent="0.3">
      <c r="B22" s="212" t="s">
        <v>93</v>
      </c>
      <c r="C22" s="180">
        <f>SUM(C21:C21)</f>
        <v>23939117</v>
      </c>
      <c r="D22" s="180">
        <f>SUM(D21:D21)</f>
        <v>16450030.33</v>
      </c>
      <c r="E22" s="180">
        <f>SUM(E21:E21)</f>
        <v>14841752</v>
      </c>
      <c r="F22" s="180">
        <f>SUM(F21:F21)</f>
        <v>55230899.329999998</v>
      </c>
      <c r="G22" s="211"/>
      <c r="H22" s="180">
        <f>SUM(H21:H21)</f>
        <v>24015214</v>
      </c>
      <c r="I22" s="180">
        <f>SUM(I21:I21)</f>
        <v>16518810</v>
      </c>
      <c r="J22" s="180">
        <f>SUM(J21:J21)</f>
        <v>14992509</v>
      </c>
      <c r="K22" s="180">
        <f>SUM(K21:K21)</f>
        <v>55526533</v>
      </c>
    </row>
    <row r="23" spans="2:12" ht="18" x14ac:dyDescent="0.25">
      <c r="C23" s="196"/>
      <c r="D23" s="196"/>
      <c r="E23" s="196"/>
      <c r="F23" s="196"/>
      <c r="H23" s="197"/>
    </row>
    <row r="24" spans="2:12" ht="18" x14ac:dyDescent="0.25">
      <c r="B24" s="590" t="s">
        <v>224</v>
      </c>
      <c r="C24" s="591"/>
      <c r="D24" s="591"/>
      <c r="E24" s="591"/>
      <c r="F24" s="591"/>
      <c r="G24" s="591"/>
      <c r="H24" s="591"/>
      <c r="I24" s="591"/>
      <c r="J24" s="591"/>
      <c r="K24" s="591"/>
    </row>
    <row r="25" spans="2:12" ht="18" customHeight="1" x14ac:dyDescent="0.2">
      <c r="B25" s="592"/>
      <c r="C25" s="592"/>
      <c r="D25" s="592"/>
      <c r="E25" s="592"/>
      <c r="F25" s="592"/>
      <c r="G25" s="592"/>
      <c r="H25" s="592"/>
      <c r="I25" s="592"/>
      <c r="J25" s="592"/>
      <c r="K25" s="592"/>
      <c r="L25" s="398"/>
    </row>
    <row r="26" spans="2:12" ht="18.75" customHeight="1" x14ac:dyDescent="0.2">
      <c r="B26" s="592"/>
      <c r="C26" s="592"/>
      <c r="D26" s="592"/>
      <c r="E26" s="592"/>
      <c r="F26" s="592"/>
      <c r="G26" s="592"/>
      <c r="H26" s="592"/>
      <c r="I26" s="592"/>
      <c r="J26" s="592"/>
      <c r="K26" s="592"/>
    </row>
    <row r="27" spans="2:12" ht="18.75" customHeight="1" x14ac:dyDescent="0.2">
      <c r="B27" s="48"/>
      <c r="C27" s="48"/>
      <c r="D27" s="48"/>
      <c r="E27" s="48"/>
      <c r="F27" s="48"/>
      <c r="H27" s="48"/>
      <c r="I27" s="48"/>
      <c r="J27" s="48"/>
      <c r="K27" s="48"/>
    </row>
    <row r="28" spans="2:12" ht="18.75" customHeight="1" x14ac:dyDescent="0.2">
      <c r="B28" s="48"/>
      <c r="C28" s="48"/>
      <c r="D28" s="48"/>
      <c r="E28" s="48"/>
      <c r="F28" s="48"/>
      <c r="G28" s="48"/>
      <c r="H28" s="48"/>
      <c r="I28" s="48"/>
      <c r="J28" s="48"/>
      <c r="K28" s="48"/>
    </row>
    <row r="29" spans="2:12" ht="18.75" x14ac:dyDescent="0.3">
      <c r="B29" s="126"/>
      <c r="F29" s="395"/>
      <c r="G29" s="395"/>
    </row>
    <row r="31" spans="2:12" x14ac:dyDescent="0.2">
      <c r="J31" s="45"/>
    </row>
  </sheetData>
  <mergeCells count="8">
    <mergeCell ref="B24:K24"/>
    <mergeCell ref="B25:K26"/>
    <mergeCell ref="B1:F1"/>
    <mergeCell ref="B2:K2"/>
    <mergeCell ref="B3:K3"/>
    <mergeCell ref="B4:K4"/>
    <mergeCell ref="C5:F5"/>
    <mergeCell ref="H5:K5"/>
  </mergeCells>
  <pageMargins left="0.7" right="0.7" top="0.75" bottom="0.75" header="0.3" footer="0.3"/>
  <pageSetup scale="43"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tabColor rgb="FFFFC000"/>
    <pageSetUpPr fitToPage="1"/>
  </sheetPr>
  <dimension ref="B1:P31"/>
  <sheetViews>
    <sheetView showGridLines="0" zoomScale="70" zoomScaleNormal="70" workbookViewId="0">
      <selection activeCell="C14" sqref="C14"/>
    </sheetView>
  </sheetViews>
  <sheetFormatPr defaultRowHeight="12.75" x14ac:dyDescent="0.2"/>
  <cols>
    <col min="1" max="1" width="9.140625" style="1"/>
    <col min="2" max="2" width="68.28515625" style="1" customWidth="1"/>
    <col min="3" max="5" width="20.85546875" style="1" customWidth="1"/>
    <col min="6" max="6" width="20.85546875" style="49" customWidth="1"/>
    <col min="7" max="7" width="3" style="49" hidden="1" customWidth="1"/>
    <col min="8" max="11" width="21" style="1" customWidth="1"/>
    <col min="12" max="258" width="9.140625" style="1"/>
    <col min="259" max="259" width="60.28515625" style="1" customWidth="1"/>
    <col min="260" max="263" width="20.85546875" style="1" customWidth="1"/>
    <col min="264" max="267" width="21" style="1" customWidth="1"/>
    <col min="268" max="514" width="9.140625" style="1"/>
    <col min="515" max="515" width="60.28515625" style="1" customWidth="1"/>
    <col min="516" max="519" width="20.85546875" style="1" customWidth="1"/>
    <col min="520" max="523" width="21" style="1" customWidth="1"/>
    <col min="524" max="770" width="9.140625" style="1"/>
    <col min="771" max="771" width="60.28515625" style="1" customWidth="1"/>
    <col min="772" max="775" width="20.85546875" style="1" customWidth="1"/>
    <col min="776" max="779" width="21" style="1" customWidth="1"/>
    <col min="780" max="1026" width="9.140625" style="1"/>
    <col min="1027" max="1027" width="60.28515625" style="1" customWidth="1"/>
    <col min="1028" max="1031" width="20.85546875" style="1" customWidth="1"/>
    <col min="1032" max="1035" width="21" style="1" customWidth="1"/>
    <col min="1036" max="1282" width="9.140625" style="1"/>
    <col min="1283" max="1283" width="60.28515625" style="1" customWidth="1"/>
    <col min="1284" max="1287" width="20.85546875" style="1" customWidth="1"/>
    <col min="1288" max="1291" width="21" style="1" customWidth="1"/>
    <col min="1292" max="1538" width="9.140625" style="1"/>
    <col min="1539" max="1539" width="60.28515625" style="1" customWidth="1"/>
    <col min="1540" max="1543" width="20.85546875" style="1" customWidth="1"/>
    <col min="1544" max="1547" width="21" style="1" customWidth="1"/>
    <col min="1548" max="1794" width="9.140625" style="1"/>
    <col min="1795" max="1795" width="60.28515625" style="1" customWidth="1"/>
    <col min="1796" max="1799" width="20.85546875" style="1" customWidth="1"/>
    <col min="1800" max="1803" width="21" style="1" customWidth="1"/>
    <col min="1804" max="2050" width="9.140625" style="1"/>
    <col min="2051" max="2051" width="60.28515625" style="1" customWidth="1"/>
    <col min="2052" max="2055" width="20.85546875" style="1" customWidth="1"/>
    <col min="2056" max="2059" width="21" style="1" customWidth="1"/>
    <col min="2060" max="2306" width="9.140625" style="1"/>
    <col min="2307" max="2307" width="60.28515625" style="1" customWidth="1"/>
    <col min="2308" max="2311" width="20.85546875" style="1" customWidth="1"/>
    <col min="2312" max="2315" width="21" style="1" customWidth="1"/>
    <col min="2316" max="2562" width="9.140625" style="1"/>
    <col min="2563" max="2563" width="60.28515625" style="1" customWidth="1"/>
    <col min="2564" max="2567" width="20.85546875" style="1" customWidth="1"/>
    <col min="2568" max="2571" width="21" style="1" customWidth="1"/>
    <col min="2572" max="2818" width="9.140625" style="1"/>
    <col min="2819" max="2819" width="60.28515625" style="1" customWidth="1"/>
    <col min="2820" max="2823" width="20.85546875" style="1" customWidth="1"/>
    <col min="2824" max="2827" width="21" style="1" customWidth="1"/>
    <col min="2828" max="3074" width="9.140625" style="1"/>
    <col min="3075" max="3075" width="60.28515625" style="1" customWidth="1"/>
    <col min="3076" max="3079" width="20.85546875" style="1" customWidth="1"/>
    <col min="3080" max="3083" width="21" style="1" customWidth="1"/>
    <col min="3084" max="3330" width="9.140625" style="1"/>
    <col min="3331" max="3331" width="60.28515625" style="1" customWidth="1"/>
    <col min="3332" max="3335" width="20.85546875" style="1" customWidth="1"/>
    <col min="3336" max="3339" width="21" style="1" customWidth="1"/>
    <col min="3340" max="3586" width="9.140625" style="1"/>
    <col min="3587" max="3587" width="60.28515625" style="1" customWidth="1"/>
    <col min="3588" max="3591" width="20.85546875" style="1" customWidth="1"/>
    <col min="3592" max="3595" width="21" style="1" customWidth="1"/>
    <col min="3596" max="3842" width="9.140625" style="1"/>
    <col min="3843" max="3843" width="60.28515625" style="1" customWidth="1"/>
    <col min="3844" max="3847" width="20.85546875" style="1" customWidth="1"/>
    <col min="3848" max="3851" width="21" style="1" customWidth="1"/>
    <col min="3852" max="4098" width="9.140625" style="1"/>
    <col min="4099" max="4099" width="60.28515625" style="1" customWidth="1"/>
    <col min="4100" max="4103" width="20.85546875" style="1" customWidth="1"/>
    <col min="4104" max="4107" width="21" style="1" customWidth="1"/>
    <col min="4108" max="4354" width="9.140625" style="1"/>
    <col min="4355" max="4355" width="60.28515625" style="1" customWidth="1"/>
    <col min="4356" max="4359" width="20.85546875" style="1" customWidth="1"/>
    <col min="4360" max="4363" width="21" style="1" customWidth="1"/>
    <col min="4364" max="4610" width="9.140625" style="1"/>
    <col min="4611" max="4611" width="60.28515625" style="1" customWidth="1"/>
    <col min="4612" max="4615" width="20.85546875" style="1" customWidth="1"/>
    <col min="4616" max="4619" width="21" style="1" customWidth="1"/>
    <col min="4620" max="4866" width="9.140625" style="1"/>
    <col min="4867" max="4867" width="60.28515625" style="1" customWidth="1"/>
    <col min="4868" max="4871" width="20.85546875" style="1" customWidth="1"/>
    <col min="4872" max="4875" width="21" style="1" customWidth="1"/>
    <col min="4876" max="5122" width="9.140625" style="1"/>
    <col min="5123" max="5123" width="60.28515625" style="1" customWidth="1"/>
    <col min="5124" max="5127" width="20.85546875" style="1" customWidth="1"/>
    <col min="5128" max="5131" width="21" style="1" customWidth="1"/>
    <col min="5132" max="5378" width="9.140625" style="1"/>
    <col min="5379" max="5379" width="60.28515625" style="1" customWidth="1"/>
    <col min="5380" max="5383" width="20.85546875" style="1" customWidth="1"/>
    <col min="5384" max="5387" width="21" style="1" customWidth="1"/>
    <col min="5388" max="5634" width="9.140625" style="1"/>
    <col min="5635" max="5635" width="60.28515625" style="1" customWidth="1"/>
    <col min="5636" max="5639" width="20.85546875" style="1" customWidth="1"/>
    <col min="5640" max="5643" width="21" style="1" customWidth="1"/>
    <col min="5644" max="5890" width="9.140625" style="1"/>
    <col min="5891" max="5891" width="60.28515625" style="1" customWidth="1"/>
    <col min="5892" max="5895" width="20.85546875" style="1" customWidth="1"/>
    <col min="5896" max="5899" width="21" style="1" customWidth="1"/>
    <col min="5900" max="6146" width="9.140625" style="1"/>
    <col min="6147" max="6147" width="60.28515625" style="1" customWidth="1"/>
    <col min="6148" max="6151" width="20.85546875" style="1" customWidth="1"/>
    <col min="6152" max="6155" width="21" style="1" customWidth="1"/>
    <col min="6156" max="6402" width="9.140625" style="1"/>
    <col min="6403" max="6403" width="60.28515625" style="1" customWidth="1"/>
    <col min="6404" max="6407" width="20.85546875" style="1" customWidth="1"/>
    <col min="6408" max="6411" width="21" style="1" customWidth="1"/>
    <col min="6412" max="6658" width="9.140625" style="1"/>
    <col min="6659" max="6659" width="60.28515625" style="1" customWidth="1"/>
    <col min="6660" max="6663" width="20.85546875" style="1" customWidth="1"/>
    <col min="6664" max="6667" width="21" style="1" customWidth="1"/>
    <col min="6668" max="6914" width="9.140625" style="1"/>
    <col min="6915" max="6915" width="60.28515625" style="1" customWidth="1"/>
    <col min="6916" max="6919" width="20.85546875" style="1" customWidth="1"/>
    <col min="6920" max="6923" width="21" style="1" customWidth="1"/>
    <col min="6924" max="7170" width="9.140625" style="1"/>
    <col min="7171" max="7171" width="60.28515625" style="1" customWidth="1"/>
    <col min="7172" max="7175" width="20.85546875" style="1" customWidth="1"/>
    <col min="7176" max="7179" width="21" style="1" customWidth="1"/>
    <col min="7180" max="7426" width="9.140625" style="1"/>
    <col min="7427" max="7427" width="60.28515625" style="1" customWidth="1"/>
    <col min="7428" max="7431" width="20.85546875" style="1" customWidth="1"/>
    <col min="7432" max="7435" width="21" style="1" customWidth="1"/>
    <col min="7436" max="7682" width="9.140625" style="1"/>
    <col min="7683" max="7683" width="60.28515625" style="1" customWidth="1"/>
    <col min="7684" max="7687" width="20.85546875" style="1" customWidth="1"/>
    <col min="7688" max="7691" width="21" style="1" customWidth="1"/>
    <col min="7692" max="7938" width="9.140625" style="1"/>
    <col min="7939" max="7939" width="60.28515625" style="1" customWidth="1"/>
    <col min="7940" max="7943" width="20.85546875" style="1" customWidth="1"/>
    <col min="7944" max="7947" width="21" style="1" customWidth="1"/>
    <col min="7948" max="8194" width="9.140625" style="1"/>
    <col min="8195" max="8195" width="60.28515625" style="1" customWidth="1"/>
    <col min="8196" max="8199" width="20.85546875" style="1" customWidth="1"/>
    <col min="8200" max="8203" width="21" style="1" customWidth="1"/>
    <col min="8204" max="8450" width="9.140625" style="1"/>
    <col min="8451" max="8451" width="60.28515625" style="1" customWidth="1"/>
    <col min="8452" max="8455" width="20.85546875" style="1" customWidth="1"/>
    <col min="8456" max="8459" width="21" style="1" customWidth="1"/>
    <col min="8460" max="8706" width="9.140625" style="1"/>
    <col min="8707" max="8707" width="60.28515625" style="1" customWidth="1"/>
    <col min="8708" max="8711" width="20.85546875" style="1" customWidth="1"/>
    <col min="8712" max="8715" width="21" style="1" customWidth="1"/>
    <col min="8716" max="8962" width="9.140625" style="1"/>
    <col min="8963" max="8963" width="60.28515625" style="1" customWidth="1"/>
    <col min="8964" max="8967" width="20.85546875" style="1" customWidth="1"/>
    <col min="8968" max="8971" width="21" style="1" customWidth="1"/>
    <col min="8972" max="9218" width="9.140625" style="1"/>
    <col min="9219" max="9219" width="60.28515625" style="1" customWidth="1"/>
    <col min="9220" max="9223" width="20.85546875" style="1" customWidth="1"/>
    <col min="9224" max="9227" width="21" style="1" customWidth="1"/>
    <col min="9228" max="9474" width="9.140625" style="1"/>
    <col min="9475" max="9475" width="60.28515625" style="1" customWidth="1"/>
    <col min="9476" max="9479" width="20.85546875" style="1" customWidth="1"/>
    <col min="9480" max="9483" width="21" style="1" customWidth="1"/>
    <col min="9484" max="9730" width="9.140625" style="1"/>
    <col min="9731" max="9731" width="60.28515625" style="1" customWidth="1"/>
    <col min="9732" max="9735" width="20.85546875" style="1" customWidth="1"/>
    <col min="9736" max="9739" width="21" style="1" customWidth="1"/>
    <col min="9740" max="9986" width="9.140625" style="1"/>
    <col min="9987" max="9987" width="60.28515625" style="1" customWidth="1"/>
    <col min="9988" max="9991" width="20.85546875" style="1" customWidth="1"/>
    <col min="9992" max="9995" width="21" style="1" customWidth="1"/>
    <col min="9996" max="10242" width="9.140625" style="1"/>
    <col min="10243" max="10243" width="60.28515625" style="1" customWidth="1"/>
    <col min="10244" max="10247" width="20.85546875" style="1" customWidth="1"/>
    <col min="10248" max="10251" width="21" style="1" customWidth="1"/>
    <col min="10252" max="10498" width="9.140625" style="1"/>
    <col min="10499" max="10499" width="60.28515625" style="1" customWidth="1"/>
    <col min="10500" max="10503" width="20.85546875" style="1" customWidth="1"/>
    <col min="10504" max="10507" width="21" style="1" customWidth="1"/>
    <col min="10508" max="10754" width="9.140625" style="1"/>
    <col min="10755" max="10755" width="60.28515625" style="1" customWidth="1"/>
    <col min="10756" max="10759" width="20.85546875" style="1" customWidth="1"/>
    <col min="10760" max="10763" width="21" style="1" customWidth="1"/>
    <col min="10764" max="11010" width="9.140625" style="1"/>
    <col min="11011" max="11011" width="60.28515625" style="1" customWidth="1"/>
    <col min="11012" max="11015" width="20.85546875" style="1" customWidth="1"/>
    <col min="11016" max="11019" width="21" style="1" customWidth="1"/>
    <col min="11020" max="11266" width="9.140625" style="1"/>
    <col min="11267" max="11267" width="60.28515625" style="1" customWidth="1"/>
    <col min="11268" max="11271" width="20.85546875" style="1" customWidth="1"/>
    <col min="11272" max="11275" width="21" style="1" customWidth="1"/>
    <col min="11276" max="11522" width="9.140625" style="1"/>
    <col min="11523" max="11523" width="60.28515625" style="1" customWidth="1"/>
    <col min="11524" max="11527" width="20.85546875" style="1" customWidth="1"/>
    <col min="11528" max="11531" width="21" style="1" customWidth="1"/>
    <col min="11532" max="11778" width="9.140625" style="1"/>
    <col min="11779" max="11779" width="60.28515625" style="1" customWidth="1"/>
    <col min="11780" max="11783" width="20.85546875" style="1" customWidth="1"/>
    <col min="11784" max="11787" width="21" style="1" customWidth="1"/>
    <col min="11788" max="12034" width="9.140625" style="1"/>
    <col min="12035" max="12035" width="60.28515625" style="1" customWidth="1"/>
    <col min="12036" max="12039" width="20.85546875" style="1" customWidth="1"/>
    <col min="12040" max="12043" width="21" style="1" customWidth="1"/>
    <col min="12044" max="12290" width="9.140625" style="1"/>
    <col min="12291" max="12291" width="60.28515625" style="1" customWidth="1"/>
    <col min="12292" max="12295" width="20.85546875" style="1" customWidth="1"/>
    <col min="12296" max="12299" width="21" style="1" customWidth="1"/>
    <col min="12300" max="12546" width="9.140625" style="1"/>
    <col min="12547" max="12547" width="60.28515625" style="1" customWidth="1"/>
    <col min="12548" max="12551" width="20.85546875" style="1" customWidth="1"/>
    <col min="12552" max="12555" width="21" style="1" customWidth="1"/>
    <col min="12556" max="12802" width="9.140625" style="1"/>
    <col min="12803" max="12803" width="60.28515625" style="1" customWidth="1"/>
    <col min="12804" max="12807" width="20.85546875" style="1" customWidth="1"/>
    <col min="12808" max="12811" width="21" style="1" customWidth="1"/>
    <col min="12812" max="13058" width="9.140625" style="1"/>
    <col min="13059" max="13059" width="60.28515625" style="1" customWidth="1"/>
    <col min="13060" max="13063" width="20.85546875" style="1" customWidth="1"/>
    <col min="13064" max="13067" width="21" style="1" customWidth="1"/>
    <col min="13068" max="13314" width="9.140625" style="1"/>
    <col min="13315" max="13315" width="60.28515625" style="1" customWidth="1"/>
    <col min="13316" max="13319" width="20.85546875" style="1" customWidth="1"/>
    <col min="13320" max="13323" width="21" style="1" customWidth="1"/>
    <col min="13324" max="13570" width="9.140625" style="1"/>
    <col min="13571" max="13571" width="60.28515625" style="1" customWidth="1"/>
    <col min="13572" max="13575" width="20.85546875" style="1" customWidth="1"/>
    <col min="13576" max="13579" width="21" style="1" customWidth="1"/>
    <col min="13580" max="13826" width="9.140625" style="1"/>
    <col min="13827" max="13827" width="60.28515625" style="1" customWidth="1"/>
    <col min="13828" max="13831" width="20.85546875" style="1" customWidth="1"/>
    <col min="13832" max="13835" width="21" style="1" customWidth="1"/>
    <col min="13836" max="14082" width="9.140625" style="1"/>
    <col min="14083" max="14083" width="60.28515625" style="1" customWidth="1"/>
    <col min="14084" max="14087" width="20.85546875" style="1" customWidth="1"/>
    <col min="14088" max="14091" width="21" style="1" customWidth="1"/>
    <col min="14092" max="14338" width="9.140625" style="1"/>
    <col min="14339" max="14339" width="60.28515625" style="1" customWidth="1"/>
    <col min="14340" max="14343" width="20.85546875" style="1" customWidth="1"/>
    <col min="14344" max="14347" width="21" style="1" customWidth="1"/>
    <col min="14348" max="14594" width="9.140625" style="1"/>
    <col min="14595" max="14595" width="60.28515625" style="1" customWidth="1"/>
    <col min="14596" max="14599" width="20.85546875" style="1" customWidth="1"/>
    <col min="14600" max="14603" width="21" style="1" customWidth="1"/>
    <col min="14604" max="14850" width="9.140625" style="1"/>
    <col min="14851" max="14851" width="60.28515625" style="1" customWidth="1"/>
    <col min="14852" max="14855" width="20.85546875" style="1" customWidth="1"/>
    <col min="14856" max="14859" width="21" style="1" customWidth="1"/>
    <col min="14860" max="15106" width="9.140625" style="1"/>
    <col min="15107" max="15107" width="60.28515625" style="1" customWidth="1"/>
    <col min="15108" max="15111" width="20.85546875" style="1" customWidth="1"/>
    <col min="15112" max="15115" width="21" style="1" customWidth="1"/>
    <col min="15116" max="15362" width="9.140625" style="1"/>
    <col min="15363" max="15363" width="60.28515625" style="1" customWidth="1"/>
    <col min="15364" max="15367" width="20.85546875" style="1" customWidth="1"/>
    <col min="15368" max="15371" width="21" style="1" customWidth="1"/>
    <col min="15372" max="15618" width="9.140625" style="1"/>
    <col min="15619" max="15619" width="60.28515625" style="1" customWidth="1"/>
    <col min="15620" max="15623" width="20.85546875" style="1" customWidth="1"/>
    <col min="15624" max="15627" width="21" style="1" customWidth="1"/>
    <col min="15628" max="15874" width="9.140625" style="1"/>
    <col min="15875" max="15875" width="60.28515625" style="1" customWidth="1"/>
    <col min="15876" max="15879" width="20.85546875" style="1" customWidth="1"/>
    <col min="15880" max="15883" width="21" style="1" customWidth="1"/>
    <col min="15884" max="16130" width="9.140625" style="1"/>
    <col min="16131" max="16131" width="60.28515625" style="1" customWidth="1"/>
    <col min="16132" max="16135" width="20.85546875" style="1" customWidth="1"/>
    <col min="16136" max="16139" width="21" style="1" customWidth="1"/>
    <col min="16140" max="16384" width="9.140625" style="1"/>
  </cols>
  <sheetData>
    <row r="1" spans="2:16" ht="23.25" x14ac:dyDescent="0.35">
      <c r="B1" s="545"/>
      <c r="C1" s="545"/>
      <c r="D1" s="545"/>
      <c r="E1" s="545"/>
      <c r="F1" s="545"/>
      <c r="G1" s="131"/>
    </row>
    <row r="2" spans="2:16" ht="20.25" customHeight="1" x14ac:dyDescent="0.35">
      <c r="B2" s="593" t="s">
        <v>90</v>
      </c>
      <c r="C2" s="593"/>
      <c r="D2" s="593"/>
      <c r="E2" s="593"/>
      <c r="F2" s="593"/>
      <c r="G2" s="593"/>
      <c r="H2" s="593"/>
      <c r="I2" s="593"/>
      <c r="J2" s="593"/>
      <c r="K2" s="593"/>
      <c r="L2" s="5"/>
      <c r="M2" s="5"/>
    </row>
    <row r="3" spans="2:16" ht="20.25" customHeight="1" x14ac:dyDescent="0.35">
      <c r="B3" s="593" t="s">
        <v>104</v>
      </c>
      <c r="C3" s="593"/>
      <c r="D3" s="593"/>
      <c r="E3" s="593"/>
      <c r="F3" s="593"/>
      <c r="G3" s="593"/>
      <c r="H3" s="593"/>
      <c r="I3" s="593"/>
      <c r="J3" s="593"/>
      <c r="K3" s="593"/>
    </row>
    <row r="4" spans="2:16" ht="20.25" customHeight="1" x14ac:dyDescent="0.35">
      <c r="B4" s="593" t="s">
        <v>270</v>
      </c>
      <c r="C4" s="593"/>
      <c r="D4" s="593"/>
      <c r="E4" s="593"/>
      <c r="F4" s="593"/>
      <c r="G4" s="593"/>
      <c r="H4" s="593"/>
      <c r="I4" s="593"/>
      <c r="J4" s="593"/>
      <c r="K4" s="593"/>
    </row>
    <row r="5" spans="2:16" ht="21" thickBot="1" x14ac:dyDescent="0.35">
      <c r="C5" s="594"/>
      <c r="D5" s="594"/>
      <c r="E5" s="594"/>
      <c r="F5" s="594"/>
      <c r="G5" s="132"/>
      <c r="H5" s="594"/>
      <c r="I5" s="594"/>
      <c r="J5" s="594"/>
      <c r="K5" s="594"/>
    </row>
    <row r="6" spans="2:16" s="7" customFormat="1" ht="17.25" customHeight="1" x14ac:dyDescent="0.25">
      <c r="B6" s="213"/>
      <c r="C6" s="214">
        <v>2021</v>
      </c>
      <c r="D6" s="214">
        <v>2021</v>
      </c>
      <c r="E6" s="214">
        <v>2021</v>
      </c>
      <c r="F6" s="214">
        <v>2021</v>
      </c>
      <c r="G6" s="214"/>
      <c r="H6" s="421">
        <v>2022</v>
      </c>
      <c r="I6" s="421">
        <v>2022</v>
      </c>
      <c r="J6" s="421">
        <v>2022</v>
      </c>
      <c r="K6" s="421">
        <v>2022</v>
      </c>
    </row>
    <row r="7" spans="2:16" ht="37.5" customHeight="1" x14ac:dyDescent="0.3">
      <c r="B7" s="215"/>
      <c r="C7" s="216" t="s">
        <v>102</v>
      </c>
      <c r="D7" s="216" t="s">
        <v>45</v>
      </c>
      <c r="E7" s="216" t="s">
        <v>46</v>
      </c>
      <c r="F7" s="217" t="s">
        <v>47</v>
      </c>
      <c r="G7" s="217"/>
      <c r="H7" s="422" t="s">
        <v>102</v>
      </c>
      <c r="I7" s="422" t="s">
        <v>45</v>
      </c>
      <c r="J7" s="422" t="s">
        <v>46</v>
      </c>
      <c r="K7" s="423" t="s">
        <v>47</v>
      </c>
      <c r="P7" s="427" t="s">
        <v>5</v>
      </c>
    </row>
    <row r="8" spans="2:16" ht="51" customHeight="1" x14ac:dyDescent="0.25">
      <c r="B8" s="216" t="s">
        <v>138</v>
      </c>
      <c r="C8" s="216" t="s">
        <v>91</v>
      </c>
      <c r="D8" s="216" t="s">
        <v>91</v>
      </c>
      <c r="E8" s="216" t="s">
        <v>91</v>
      </c>
      <c r="F8" s="216" t="s">
        <v>103</v>
      </c>
      <c r="G8" s="216"/>
      <c r="H8" s="422" t="s">
        <v>91</v>
      </c>
      <c r="I8" s="422" t="s">
        <v>91</v>
      </c>
      <c r="J8" s="422" t="s">
        <v>91</v>
      </c>
      <c r="K8" s="422" t="s">
        <v>103</v>
      </c>
    </row>
    <row r="9" spans="2:16" ht="18" customHeight="1" thickBot="1" x14ac:dyDescent="0.3">
      <c r="B9" s="218"/>
      <c r="C9" s="219" t="s">
        <v>327</v>
      </c>
      <c r="D9" s="219" t="s">
        <v>327</v>
      </c>
      <c r="E9" s="219" t="s">
        <v>327</v>
      </c>
      <c r="F9" s="220" t="s">
        <v>42</v>
      </c>
      <c r="G9" s="220"/>
      <c r="H9" s="424" t="s">
        <v>328</v>
      </c>
      <c r="I9" s="424" t="s">
        <v>328</v>
      </c>
      <c r="J9" s="424" t="s">
        <v>328</v>
      </c>
      <c r="K9" s="425" t="s">
        <v>42</v>
      </c>
    </row>
    <row r="10" spans="2:16" s="2" customFormat="1" ht="33.75" customHeight="1" thickBot="1" x14ac:dyDescent="0.3">
      <c r="B10" s="205" t="s">
        <v>92</v>
      </c>
      <c r="C10" s="208">
        <f>20448182.3-135125.48</f>
        <v>20313056.82</v>
      </c>
      <c r="D10" s="209">
        <v>12802369</v>
      </c>
      <c r="E10" s="209">
        <v>12794098</v>
      </c>
      <c r="F10" s="207">
        <f t="shared" ref="F10:F14" si="0">SUM(C10:E10)</f>
        <v>45909523.82</v>
      </c>
      <c r="G10" s="204"/>
      <c r="H10" s="208">
        <v>23884574</v>
      </c>
      <c r="I10" s="209">
        <v>16359809</v>
      </c>
      <c r="J10" s="206">
        <v>14460200</v>
      </c>
      <c r="K10" s="207">
        <f t="shared" ref="K10:K14" si="1">SUM(H10:J10)</f>
        <v>54704583</v>
      </c>
    </row>
    <row r="11" spans="2:16" s="2" customFormat="1" ht="27" customHeight="1" thickBot="1" x14ac:dyDescent="0.3">
      <c r="B11" s="205" t="s">
        <v>203</v>
      </c>
      <c r="C11" s="206">
        <v>-3258357.55</v>
      </c>
      <c r="D11" s="206">
        <v>-2210145</v>
      </c>
      <c r="E11" s="206">
        <v>-1755578</v>
      </c>
      <c r="F11" s="207">
        <f t="shared" si="0"/>
        <v>-7224080.5499999998</v>
      </c>
      <c r="G11" s="204"/>
      <c r="H11" s="206">
        <f>-3201682-3023</f>
        <v>-3204705</v>
      </c>
      <c r="I11" s="206">
        <v>-681920.62</v>
      </c>
      <c r="J11" s="206">
        <v>-555037.66</v>
      </c>
      <c r="K11" s="207">
        <f t="shared" si="1"/>
        <v>-4441663.28</v>
      </c>
    </row>
    <row r="12" spans="2:16" s="2" customFormat="1" ht="27" customHeight="1" thickBot="1" x14ac:dyDescent="0.3">
      <c r="B12" s="205" t="s">
        <v>204</v>
      </c>
      <c r="C12" s="206">
        <f>510263-61456.82</f>
        <v>448806.18</v>
      </c>
      <c r="D12" s="206">
        <v>5102519</v>
      </c>
      <c r="E12" s="206">
        <v>3188750</v>
      </c>
      <c r="F12" s="207">
        <f t="shared" si="0"/>
        <v>8740075.1799999997</v>
      </c>
      <c r="G12" s="204"/>
      <c r="H12" s="206">
        <f>-2796749-2189</f>
        <v>-2798938</v>
      </c>
      <c r="I12" s="206">
        <v>-1121804.3500000001</v>
      </c>
      <c r="J12" s="206">
        <v>-1805044.64</v>
      </c>
      <c r="K12" s="207">
        <f t="shared" si="1"/>
        <v>-5725786.9900000002</v>
      </c>
    </row>
    <row r="13" spans="2:16" s="2" customFormat="1" ht="21.75" customHeight="1" thickBot="1" x14ac:dyDescent="0.3">
      <c r="B13" s="205" t="s">
        <v>255</v>
      </c>
      <c r="C13" s="206">
        <v>0</v>
      </c>
      <c r="D13" s="206">
        <v>374633.07</v>
      </c>
      <c r="E13" s="206">
        <v>311093</v>
      </c>
      <c r="F13" s="207">
        <f t="shared" si="0"/>
        <v>685726.07000000007</v>
      </c>
      <c r="G13" s="204"/>
      <c r="H13" s="206">
        <v>0</v>
      </c>
      <c r="I13" s="206">
        <v>260037</v>
      </c>
      <c r="J13" s="206">
        <v>80810</v>
      </c>
      <c r="K13" s="207">
        <f t="shared" si="1"/>
        <v>340847</v>
      </c>
    </row>
    <row r="14" spans="2:16" ht="26.25" customHeight="1" thickBot="1" x14ac:dyDescent="0.3">
      <c r="B14" s="176" t="s">
        <v>93</v>
      </c>
      <c r="C14" s="180">
        <f>SUM(C10:C13)</f>
        <v>17503505.449999999</v>
      </c>
      <c r="D14" s="180">
        <f>SUM(D10:D13)</f>
        <v>16069376.07</v>
      </c>
      <c r="E14" s="180">
        <f>SUM(E10:E13)</f>
        <v>14538363</v>
      </c>
      <c r="F14" s="180">
        <f t="shared" si="0"/>
        <v>48111244.519999996</v>
      </c>
      <c r="G14" s="211"/>
      <c r="H14" s="180">
        <f>SUM(H10:H13)</f>
        <v>17880931</v>
      </c>
      <c r="I14" s="180">
        <f>SUM(I10:I13)</f>
        <v>14816121.030000001</v>
      </c>
      <c r="J14" s="180">
        <f>SUM(J10:J13)</f>
        <v>12180927.699999999</v>
      </c>
      <c r="K14" s="180">
        <f t="shared" si="1"/>
        <v>44877979.730000004</v>
      </c>
    </row>
    <row r="15" spans="2:16" ht="18" x14ac:dyDescent="0.25">
      <c r="B15" s="197"/>
      <c r="C15" s="196" t="s">
        <v>5</v>
      </c>
      <c r="D15" s="196" t="s">
        <v>5</v>
      </c>
      <c r="E15" s="196" t="s">
        <v>5</v>
      </c>
      <c r="F15" s="210" t="s">
        <v>5</v>
      </c>
      <c r="G15" s="210"/>
      <c r="H15" s="196" t="s">
        <v>5</v>
      </c>
      <c r="I15" s="196" t="s">
        <v>5</v>
      </c>
      <c r="J15" s="196" t="s">
        <v>5</v>
      </c>
      <c r="K15" s="196"/>
    </row>
    <row r="16" spans="2:16" ht="18.75" thickBot="1" x14ac:dyDescent="0.3">
      <c r="B16" s="197"/>
      <c r="C16" s="197"/>
      <c r="D16" s="197"/>
      <c r="E16" s="197"/>
      <c r="F16" s="198"/>
      <c r="G16" s="198"/>
      <c r="H16" s="197"/>
      <c r="I16" s="197"/>
      <c r="J16" s="197"/>
      <c r="K16" s="197"/>
    </row>
    <row r="17" spans="2:12" s="7" customFormat="1" ht="17.25" customHeight="1" x14ac:dyDescent="0.25">
      <c r="B17" s="163"/>
      <c r="C17" s="421">
        <v>2023</v>
      </c>
      <c r="D17" s="421">
        <f>C17</f>
        <v>2023</v>
      </c>
      <c r="E17" s="421">
        <f>D17</f>
        <v>2023</v>
      </c>
      <c r="F17" s="421">
        <f>E17</f>
        <v>2023</v>
      </c>
      <c r="G17" s="426"/>
      <c r="H17" s="421">
        <v>2024</v>
      </c>
      <c r="I17" s="421">
        <f>H17</f>
        <v>2024</v>
      </c>
      <c r="J17" s="421">
        <f>I17</f>
        <v>2024</v>
      </c>
      <c r="K17" s="421">
        <f>J17</f>
        <v>2024</v>
      </c>
    </row>
    <row r="18" spans="2:12" ht="37.5" customHeight="1" x14ac:dyDescent="0.25">
      <c r="B18" s="167"/>
      <c r="C18" s="422" t="s">
        <v>102</v>
      </c>
      <c r="D18" s="422" t="s">
        <v>45</v>
      </c>
      <c r="E18" s="422" t="s">
        <v>46</v>
      </c>
      <c r="F18" s="423" t="s">
        <v>47</v>
      </c>
      <c r="G18" s="423"/>
      <c r="H18" s="422" t="s">
        <v>102</v>
      </c>
      <c r="I18" s="422" t="s">
        <v>45</v>
      </c>
      <c r="J18" s="422" t="s">
        <v>46</v>
      </c>
      <c r="K18" s="423" t="s">
        <v>47</v>
      </c>
    </row>
    <row r="19" spans="2:12" ht="38.25" customHeight="1" x14ac:dyDescent="0.25">
      <c r="B19" s="168" t="s">
        <v>138</v>
      </c>
      <c r="C19" s="422" t="s">
        <v>91</v>
      </c>
      <c r="D19" s="422" t="s">
        <v>91</v>
      </c>
      <c r="E19" s="422" t="s">
        <v>91</v>
      </c>
      <c r="F19" s="422" t="s">
        <v>103</v>
      </c>
      <c r="G19" s="422"/>
      <c r="H19" s="422" t="s">
        <v>91</v>
      </c>
      <c r="I19" s="422" t="s">
        <v>91</v>
      </c>
      <c r="J19" s="422" t="s">
        <v>91</v>
      </c>
      <c r="K19" s="422" t="s">
        <v>103</v>
      </c>
    </row>
    <row r="20" spans="2:12" ht="18" customHeight="1" thickBot="1" x14ac:dyDescent="0.3">
      <c r="B20" s="174"/>
      <c r="C20" s="424" t="s">
        <v>328</v>
      </c>
      <c r="D20" s="424" t="s">
        <v>328</v>
      </c>
      <c r="E20" s="424" t="s">
        <v>328</v>
      </c>
      <c r="F20" s="425" t="s">
        <v>42</v>
      </c>
      <c r="G20" s="423"/>
      <c r="H20" s="424" t="s">
        <v>328</v>
      </c>
      <c r="I20" s="424" t="s">
        <v>328</v>
      </c>
      <c r="J20" s="424" t="s">
        <v>328</v>
      </c>
      <c r="K20" s="425" t="s">
        <v>42</v>
      </c>
    </row>
    <row r="21" spans="2:12" s="2" customFormat="1" ht="26.25" customHeight="1" thickBot="1" x14ac:dyDescent="0.3">
      <c r="B21" s="177" t="s">
        <v>92</v>
      </c>
      <c r="C21" s="208">
        <v>24105077</v>
      </c>
      <c r="D21" s="206">
        <v>16381537.07</v>
      </c>
      <c r="E21" s="206">
        <v>14692511</v>
      </c>
      <c r="F21" s="207">
        <f>SUM(C21:E21)</f>
        <v>55179125.07</v>
      </c>
      <c r="G21" s="204"/>
      <c r="H21" s="208">
        <v>24544270</v>
      </c>
      <c r="I21" s="206">
        <v>16450030.33</v>
      </c>
      <c r="J21" s="206">
        <v>14841752</v>
      </c>
      <c r="K21" s="207">
        <f>SUM(H21:J21)</f>
        <v>55836052.329999998</v>
      </c>
    </row>
    <row r="22" spans="2:12" ht="24" customHeight="1" thickBot="1" x14ac:dyDescent="0.3">
      <c r="B22" s="212" t="s">
        <v>93</v>
      </c>
      <c r="C22" s="180">
        <f>SUM(C21:C21)</f>
        <v>24105077</v>
      </c>
      <c r="D22" s="180">
        <f>SUM(D21:D21)</f>
        <v>16381537.07</v>
      </c>
      <c r="E22" s="180">
        <f>SUM(E21:E21)</f>
        <v>14692511</v>
      </c>
      <c r="F22" s="180">
        <f>SUM(F21:F21)</f>
        <v>55179125.07</v>
      </c>
      <c r="G22" s="211"/>
      <c r="H22" s="180">
        <f>SUM(H21:H21)</f>
        <v>24544270</v>
      </c>
      <c r="I22" s="180">
        <f>SUM(I21:I21)</f>
        <v>16450030.33</v>
      </c>
      <c r="J22" s="180">
        <f>SUM(J21:J21)</f>
        <v>14841752</v>
      </c>
      <c r="K22" s="180">
        <f>SUM(K21:K21)</f>
        <v>55836052.329999998</v>
      </c>
    </row>
    <row r="23" spans="2:12" ht="18" x14ac:dyDescent="0.25">
      <c r="C23" s="197" t="s">
        <v>5</v>
      </c>
      <c r="H23" s="197" t="s">
        <v>5</v>
      </c>
    </row>
    <row r="24" spans="2:12" ht="18" x14ac:dyDescent="0.25">
      <c r="B24" s="590" t="s">
        <v>224</v>
      </c>
      <c r="C24" s="591"/>
      <c r="D24" s="591"/>
      <c r="E24" s="591"/>
      <c r="F24" s="591"/>
      <c r="G24" s="591"/>
      <c r="H24" s="591"/>
      <c r="I24" s="591"/>
      <c r="J24" s="591"/>
      <c r="K24" s="591"/>
    </row>
    <row r="25" spans="2:12" ht="18" customHeight="1" x14ac:dyDescent="0.2">
      <c r="B25" s="592"/>
      <c r="C25" s="592"/>
      <c r="D25" s="592"/>
      <c r="E25" s="592"/>
      <c r="F25" s="592"/>
      <c r="G25" s="592"/>
      <c r="H25" s="592"/>
      <c r="I25" s="592"/>
      <c r="J25" s="592"/>
      <c r="K25" s="592"/>
      <c r="L25" s="40"/>
    </row>
    <row r="26" spans="2:12" ht="18.75" customHeight="1" x14ac:dyDescent="0.2">
      <c r="B26" s="592"/>
      <c r="C26" s="592"/>
      <c r="D26" s="592"/>
      <c r="E26" s="592"/>
      <c r="F26" s="592"/>
      <c r="G26" s="592"/>
      <c r="H26" s="592"/>
      <c r="I26" s="592"/>
      <c r="J26" s="592"/>
      <c r="K26" s="592"/>
    </row>
    <row r="27" spans="2:12" ht="18.75" customHeight="1" x14ac:dyDescent="0.2">
      <c r="B27" s="48"/>
      <c r="C27" s="48"/>
      <c r="D27" s="48"/>
      <c r="E27" s="48"/>
      <c r="F27" s="48"/>
      <c r="H27" s="48"/>
      <c r="I27" s="48"/>
      <c r="J27" s="48"/>
      <c r="K27" s="48"/>
    </row>
    <row r="28" spans="2:12" ht="18.75" customHeight="1" x14ac:dyDescent="0.2">
      <c r="B28" s="48"/>
      <c r="C28" s="48"/>
      <c r="D28" s="48"/>
      <c r="E28" s="48"/>
      <c r="F28" s="48"/>
      <c r="G28" s="48"/>
      <c r="H28" s="48"/>
      <c r="I28" s="48"/>
      <c r="J28" s="48"/>
      <c r="K28" s="48"/>
    </row>
    <row r="29" spans="2:12" ht="18.75" x14ac:dyDescent="0.3">
      <c r="B29" s="126"/>
      <c r="F29" s="1"/>
      <c r="G29" s="1"/>
    </row>
    <row r="31" spans="2:12" x14ac:dyDescent="0.2">
      <c r="J31" s="45"/>
    </row>
  </sheetData>
  <mergeCells count="8">
    <mergeCell ref="B25:K26"/>
    <mergeCell ref="B1:F1"/>
    <mergeCell ref="B2:K2"/>
    <mergeCell ref="B3:K3"/>
    <mergeCell ref="B4:K4"/>
    <mergeCell ref="C5:F5"/>
    <mergeCell ref="H5:K5"/>
    <mergeCell ref="B24:K24"/>
  </mergeCells>
  <pageMargins left="0.7" right="0.7" top="0.75" bottom="0.75" header="0.3" footer="0.3"/>
  <pageSetup scale="43" orientation="landscape"/>
  <ignoredErrors>
    <ignoredError sqref="C16:K16 G13 G10 G11 G12 G14 G18:K19 G17 G9 G20 K20 F15:G15 K15" twoDigitTextYear="1"/>
    <ignoredError sqref="E22 J22"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rgb="FFFFC000"/>
    <pageSetUpPr fitToPage="1"/>
  </sheetPr>
  <dimension ref="A1:IR57"/>
  <sheetViews>
    <sheetView showGridLines="0" topLeftCell="C1" zoomScale="80" zoomScaleNormal="80" workbookViewId="0">
      <pane ySplit="11" topLeftCell="A12" activePane="bottomLeft" state="frozen"/>
      <selection activeCell="B1" sqref="B1"/>
      <selection pane="bottomLeft" activeCell="N13" sqref="N13"/>
    </sheetView>
  </sheetViews>
  <sheetFormatPr defaultRowHeight="12.75" x14ac:dyDescent="0.2"/>
  <cols>
    <col min="1" max="2" width="4.5703125" style="1" customWidth="1"/>
    <col min="3" max="3" width="70.140625" style="1" customWidth="1"/>
    <col min="4" max="4" width="21.7109375" style="1" hidden="1" customWidth="1"/>
    <col min="5" max="5" width="21.7109375" style="395" hidden="1" customWidth="1"/>
    <col min="6" max="6" width="21.7109375" style="1" customWidth="1"/>
    <col min="7" max="8" width="21.7109375" style="395" hidden="1" customWidth="1"/>
    <col min="9" max="9" width="21.7109375" style="395" customWidth="1"/>
    <col min="10" max="11" width="21.7109375" style="395" hidden="1" customWidth="1"/>
    <col min="12" max="12" width="21.7109375" style="395" customWidth="1"/>
    <col min="13" max="13" width="21.7109375" style="1" hidden="1" customWidth="1"/>
    <col min="14" max="15" width="21.7109375" style="395" customWidth="1"/>
    <col min="16" max="17" width="12.85546875" style="1" customWidth="1"/>
    <col min="18" max="18" width="12.85546875" style="395" customWidth="1"/>
    <col min="19" max="19" width="13.85546875" style="395" bestFit="1" customWidth="1"/>
    <col min="20" max="20" width="21.5703125" style="395" customWidth="1"/>
    <col min="21" max="21" width="17.85546875" style="395" customWidth="1"/>
    <col min="22" max="24" width="12.85546875" style="395" customWidth="1"/>
    <col min="25" max="25" width="15" style="1" bestFit="1" customWidth="1"/>
    <col min="26" max="26" width="10.5703125" style="1" bestFit="1" customWidth="1"/>
    <col min="27" max="27" width="22.85546875" style="1" customWidth="1"/>
    <col min="28" max="28" width="10.85546875" style="1" bestFit="1" customWidth="1"/>
    <col min="29" max="29" width="9.140625" style="1" customWidth="1"/>
    <col min="30" max="30" width="11.5703125" style="1" customWidth="1"/>
    <col min="31" max="31" width="12.85546875" style="1" customWidth="1"/>
    <col min="32" max="32" width="15.42578125" style="1" customWidth="1"/>
    <col min="33" max="33" width="12.5703125" style="1" customWidth="1"/>
    <col min="34" max="47" width="9.140625" style="1" customWidth="1"/>
    <col min="48" max="252" width="9.140625" style="1"/>
  </cols>
  <sheetData>
    <row r="1" spans="1:252" x14ac:dyDescent="0.2">
      <c r="D1" s="420"/>
      <c r="E1" s="396"/>
      <c r="F1" s="420"/>
      <c r="H1" s="396"/>
      <c r="I1" s="420"/>
      <c r="K1" s="420"/>
      <c r="L1" s="420"/>
      <c r="M1" s="420"/>
      <c r="N1" s="420"/>
      <c r="O1" s="420"/>
    </row>
    <row r="2" spans="1:252" ht="23.25" x14ac:dyDescent="0.35">
      <c r="C2" s="545" t="s">
        <v>20</v>
      </c>
      <c r="D2" s="546"/>
      <c r="E2" s="546"/>
      <c r="F2" s="546"/>
      <c r="G2" s="546"/>
      <c r="H2" s="546"/>
      <c r="I2" s="546"/>
      <c r="J2" s="546"/>
      <c r="K2" s="546"/>
      <c r="L2" s="546"/>
      <c r="M2" s="546"/>
      <c r="N2" s="505"/>
      <c r="O2" s="505"/>
    </row>
    <row r="3" spans="1:252" ht="23.25" x14ac:dyDescent="0.35">
      <c r="A3" s="2"/>
      <c r="B3" s="221"/>
      <c r="C3" s="545" t="s">
        <v>105</v>
      </c>
      <c r="D3" s="546"/>
      <c r="E3" s="546"/>
      <c r="F3" s="546"/>
      <c r="G3" s="546"/>
      <c r="H3" s="546"/>
      <c r="I3" s="546"/>
      <c r="J3" s="546"/>
      <c r="K3" s="546"/>
      <c r="L3" s="546"/>
      <c r="M3" s="546"/>
      <c r="N3" s="505"/>
      <c r="O3" s="505"/>
    </row>
    <row r="4" spans="1:252" ht="23.25" x14ac:dyDescent="0.35">
      <c r="A4" s="2"/>
      <c r="B4" s="221"/>
      <c r="C4" s="545" t="s">
        <v>354</v>
      </c>
      <c r="D4" s="546"/>
      <c r="E4" s="546"/>
      <c r="F4" s="546"/>
      <c r="G4" s="546"/>
      <c r="H4" s="546"/>
      <c r="I4" s="546"/>
      <c r="J4" s="546"/>
      <c r="K4" s="546"/>
      <c r="L4" s="546"/>
      <c r="M4" s="546"/>
      <c r="N4" s="505"/>
      <c r="O4" s="505"/>
    </row>
    <row r="5" spans="1:252" ht="11.25" customHeight="1" x14ac:dyDescent="0.3">
      <c r="A5" s="2"/>
      <c r="B5" s="221"/>
      <c r="C5" s="136"/>
      <c r="D5" s="396"/>
      <c r="E5" s="396"/>
      <c r="F5" s="396"/>
      <c r="G5" s="396"/>
      <c r="H5" s="396"/>
      <c r="I5" s="396"/>
      <c r="J5" s="396"/>
      <c r="K5" s="396"/>
      <c r="L5" s="396"/>
      <c r="M5" s="396"/>
      <c r="N5" s="396"/>
      <c r="O5" s="396"/>
    </row>
    <row r="6" spans="1:252" ht="9.75" customHeight="1" thickBot="1" x14ac:dyDescent="0.35">
      <c r="A6" s="4"/>
      <c r="B6" s="222"/>
      <c r="C6" s="5"/>
      <c r="D6" s="221"/>
      <c r="E6" s="221"/>
      <c r="F6" s="221"/>
      <c r="G6" s="221"/>
      <c r="H6" s="221"/>
      <c r="I6" s="221"/>
      <c r="J6" s="221"/>
      <c r="K6" s="221"/>
      <c r="L6" s="221"/>
      <c r="M6" s="221"/>
      <c r="N6" s="221"/>
      <c r="O6" s="221"/>
    </row>
    <row r="7" spans="1:252" ht="18" x14ac:dyDescent="0.25">
      <c r="A7" s="6"/>
      <c r="B7" s="223"/>
      <c r="C7" s="163"/>
      <c r="D7" s="165">
        <v>2020</v>
      </c>
      <c r="E7" s="165">
        <v>2021</v>
      </c>
      <c r="F7" s="165">
        <v>2021</v>
      </c>
      <c r="G7" s="165">
        <v>2022</v>
      </c>
      <c r="H7" s="165">
        <v>2022</v>
      </c>
      <c r="I7" s="165">
        <v>2022</v>
      </c>
      <c r="J7" s="165">
        <v>2023</v>
      </c>
      <c r="K7" s="165">
        <v>2023</v>
      </c>
      <c r="L7" s="165">
        <v>2023</v>
      </c>
      <c r="M7" s="165">
        <v>2024</v>
      </c>
      <c r="N7" s="165">
        <v>2024</v>
      </c>
      <c r="O7" s="165">
        <v>2025</v>
      </c>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c r="CW7" s="7"/>
      <c r="CX7" s="7"/>
      <c r="CY7" s="7"/>
      <c r="CZ7" s="7"/>
      <c r="DA7" s="7"/>
      <c r="DB7" s="7"/>
      <c r="DC7" s="7"/>
      <c r="DD7" s="7"/>
      <c r="DE7" s="7"/>
      <c r="DF7" s="7"/>
      <c r="DG7" s="7"/>
      <c r="DH7" s="7"/>
      <c r="DI7" s="7"/>
      <c r="DJ7" s="7"/>
      <c r="DK7" s="7"/>
      <c r="DL7" s="7"/>
      <c r="DM7" s="7"/>
      <c r="DN7" s="7"/>
      <c r="DO7" s="7"/>
      <c r="DP7" s="7"/>
      <c r="DQ7" s="7"/>
      <c r="DR7" s="7"/>
      <c r="DS7" s="7"/>
      <c r="DT7" s="7"/>
      <c r="DU7" s="7"/>
      <c r="DV7" s="7"/>
      <c r="DW7" s="7"/>
      <c r="DX7" s="7"/>
      <c r="DY7" s="7"/>
      <c r="DZ7" s="7"/>
      <c r="EA7" s="7"/>
      <c r="EB7" s="7"/>
      <c r="EC7" s="7"/>
      <c r="ED7" s="7"/>
      <c r="EE7" s="7"/>
      <c r="EF7" s="7"/>
      <c r="EG7" s="7"/>
      <c r="EH7" s="7"/>
      <c r="EI7" s="7"/>
      <c r="EJ7" s="7"/>
      <c r="EK7" s="7"/>
      <c r="EL7" s="7"/>
      <c r="EM7" s="7"/>
      <c r="EN7" s="7"/>
      <c r="EO7" s="7"/>
      <c r="EP7" s="7"/>
      <c r="EQ7" s="7"/>
      <c r="ER7" s="7"/>
      <c r="ES7" s="7"/>
      <c r="ET7" s="7"/>
      <c r="EU7" s="7"/>
      <c r="EV7" s="7"/>
      <c r="EW7" s="7"/>
      <c r="EX7" s="7"/>
      <c r="EY7" s="7"/>
      <c r="EZ7" s="7"/>
      <c r="FA7" s="7"/>
      <c r="FB7" s="7"/>
      <c r="FC7" s="7"/>
      <c r="FD7" s="7"/>
      <c r="FE7" s="7"/>
      <c r="FF7" s="7"/>
      <c r="FG7" s="7"/>
      <c r="FH7" s="7"/>
      <c r="FI7" s="7"/>
      <c r="FJ7" s="7"/>
      <c r="FK7" s="7"/>
      <c r="FL7" s="7"/>
      <c r="FM7" s="7"/>
      <c r="FN7" s="7"/>
      <c r="FO7" s="7"/>
      <c r="FP7" s="7"/>
      <c r="FQ7" s="7"/>
      <c r="FR7" s="7"/>
      <c r="FS7" s="7"/>
      <c r="FT7" s="7"/>
      <c r="FU7" s="7"/>
      <c r="FV7" s="7"/>
      <c r="FW7" s="7"/>
      <c r="FX7" s="7"/>
      <c r="FY7" s="7"/>
      <c r="FZ7" s="7"/>
      <c r="GA7" s="7"/>
      <c r="GB7" s="7"/>
      <c r="GC7" s="7"/>
      <c r="GD7" s="7"/>
      <c r="GE7" s="7"/>
      <c r="GF7" s="7"/>
      <c r="GG7" s="7"/>
      <c r="GH7" s="7"/>
      <c r="GI7" s="7"/>
      <c r="GJ7" s="7"/>
      <c r="GK7" s="7"/>
      <c r="GL7" s="7"/>
      <c r="GM7" s="7"/>
      <c r="GN7" s="7"/>
      <c r="GO7" s="7"/>
      <c r="GP7" s="7"/>
      <c r="GQ7" s="7"/>
      <c r="GR7" s="7"/>
      <c r="GS7" s="7"/>
      <c r="GT7" s="7"/>
      <c r="GU7" s="7"/>
      <c r="GV7" s="7"/>
      <c r="GW7" s="7"/>
      <c r="GX7" s="7"/>
      <c r="GY7" s="7"/>
      <c r="GZ7" s="7"/>
      <c r="HA7" s="7"/>
      <c r="HB7" s="7"/>
      <c r="HC7" s="7"/>
      <c r="HD7" s="7"/>
      <c r="HE7" s="7"/>
      <c r="HF7" s="7"/>
      <c r="HG7" s="7"/>
      <c r="HH7" s="7"/>
      <c r="HI7" s="7"/>
      <c r="HJ7" s="7"/>
      <c r="HK7" s="7"/>
      <c r="HL7" s="7"/>
      <c r="HM7" s="7"/>
      <c r="HN7" s="7"/>
      <c r="HO7" s="7"/>
      <c r="HP7" s="7"/>
      <c r="HQ7" s="7"/>
      <c r="HR7" s="7"/>
      <c r="HS7" s="7"/>
      <c r="HT7" s="7"/>
      <c r="HU7" s="7"/>
      <c r="HV7" s="7"/>
      <c r="HW7" s="7"/>
      <c r="HX7" s="7"/>
      <c r="HY7" s="7"/>
      <c r="HZ7" s="7"/>
      <c r="IA7" s="7"/>
      <c r="IB7" s="7"/>
      <c r="IC7" s="7"/>
      <c r="ID7" s="7"/>
      <c r="IE7" s="7"/>
      <c r="IF7" s="7"/>
      <c r="IG7" s="7"/>
      <c r="IH7" s="7"/>
      <c r="II7" s="7"/>
      <c r="IJ7" s="7"/>
      <c r="IK7" s="7"/>
      <c r="IL7" s="7"/>
      <c r="IM7" s="7"/>
      <c r="IN7" s="7"/>
      <c r="IO7" s="7"/>
      <c r="IP7" s="7"/>
      <c r="IQ7" s="7"/>
      <c r="IR7" s="7"/>
    </row>
    <row r="8" spans="1:252" ht="36" x14ac:dyDescent="0.25">
      <c r="A8" s="6"/>
      <c r="B8" s="223"/>
      <c r="C8" s="167"/>
      <c r="D8" s="229" t="s">
        <v>106</v>
      </c>
      <c r="E8" s="229" t="s">
        <v>106</v>
      </c>
      <c r="F8" s="229" t="s">
        <v>106</v>
      </c>
      <c r="G8" s="229" t="s">
        <v>106</v>
      </c>
      <c r="H8" s="229" t="s">
        <v>106</v>
      </c>
      <c r="I8" s="229" t="s">
        <v>106</v>
      </c>
      <c r="J8" s="229" t="s">
        <v>106</v>
      </c>
      <c r="K8" s="229" t="s">
        <v>106</v>
      </c>
      <c r="L8" s="229" t="s">
        <v>106</v>
      </c>
      <c r="M8" s="229" t="s">
        <v>106</v>
      </c>
      <c r="N8" s="229" t="s">
        <v>106</v>
      </c>
      <c r="O8" s="229" t="s">
        <v>106</v>
      </c>
      <c r="P8" s="135"/>
    </row>
    <row r="9" spans="1:252" ht="18" x14ac:dyDescent="0.25">
      <c r="A9" s="6"/>
      <c r="B9" s="223"/>
      <c r="C9" s="168" t="s">
        <v>139</v>
      </c>
      <c r="D9" s="229" t="s">
        <v>62</v>
      </c>
      <c r="E9" s="229" t="s">
        <v>116</v>
      </c>
      <c r="F9" s="229" t="s">
        <v>62</v>
      </c>
      <c r="G9" s="229" t="s">
        <v>116</v>
      </c>
      <c r="H9" s="229" t="s">
        <v>116</v>
      </c>
      <c r="I9" s="229" t="s">
        <v>116</v>
      </c>
      <c r="J9" s="229" t="s">
        <v>116</v>
      </c>
      <c r="K9" s="229" t="s">
        <v>116</v>
      </c>
      <c r="L9" s="229" t="s">
        <v>116</v>
      </c>
      <c r="M9" s="229" t="s">
        <v>116</v>
      </c>
      <c r="N9" s="229" t="s">
        <v>116</v>
      </c>
      <c r="O9" s="229" t="s">
        <v>116</v>
      </c>
      <c r="P9" s="140"/>
    </row>
    <row r="10" spans="1:252" ht="18" x14ac:dyDescent="0.25">
      <c r="A10" s="6"/>
      <c r="B10" s="223"/>
      <c r="C10" s="168"/>
      <c r="D10" s="229" t="s">
        <v>201</v>
      </c>
      <c r="E10" s="229" t="s">
        <v>39</v>
      </c>
      <c r="F10" s="229" t="s">
        <v>201</v>
      </c>
      <c r="G10" s="229" t="s">
        <v>39</v>
      </c>
      <c r="H10" s="229" t="s">
        <v>39</v>
      </c>
      <c r="I10" s="229" t="s">
        <v>39</v>
      </c>
      <c r="J10" s="229" t="s">
        <v>39</v>
      </c>
      <c r="K10" s="229" t="s">
        <v>39</v>
      </c>
      <c r="L10" s="229" t="s">
        <v>39</v>
      </c>
      <c r="M10" s="229" t="s">
        <v>39</v>
      </c>
      <c r="N10" s="229" t="s">
        <v>39</v>
      </c>
      <c r="O10" s="229" t="s">
        <v>39</v>
      </c>
      <c r="Y10" s="49"/>
      <c r="Z10" s="49"/>
      <c r="AA10" s="49"/>
      <c r="AB10" s="49"/>
      <c r="AC10" s="49"/>
      <c r="AD10" s="49"/>
      <c r="AE10" s="49"/>
    </row>
    <row r="11" spans="1:252" ht="18.75" thickBot="1" x14ac:dyDescent="0.3">
      <c r="A11" s="6"/>
      <c r="B11" s="223"/>
      <c r="C11" s="174"/>
      <c r="D11" s="230">
        <v>44196</v>
      </c>
      <c r="E11" s="230">
        <v>44256</v>
      </c>
      <c r="F11" s="230">
        <v>44561</v>
      </c>
      <c r="G11" s="230">
        <v>44256</v>
      </c>
      <c r="H11" s="230">
        <v>44501</v>
      </c>
      <c r="I11" s="230">
        <v>44621</v>
      </c>
      <c r="J11" s="230">
        <v>44256</v>
      </c>
      <c r="K11" s="230">
        <v>44621</v>
      </c>
      <c r="L11" s="230">
        <v>44866</v>
      </c>
      <c r="M11" s="230">
        <v>44621</v>
      </c>
      <c r="N11" s="230">
        <v>44866</v>
      </c>
      <c r="O11" s="230">
        <v>44866</v>
      </c>
      <c r="Y11" s="149"/>
      <c r="Z11" s="49"/>
      <c r="AA11" s="49"/>
      <c r="AB11" s="150"/>
      <c r="AC11" s="150"/>
      <c r="AD11" s="150"/>
      <c r="AE11" s="150"/>
      <c r="AF11" s="124"/>
      <c r="AG11" s="124"/>
    </row>
    <row r="12" spans="1:252" ht="25.5" customHeight="1" thickBot="1" x14ac:dyDescent="0.3">
      <c r="A12" s="6"/>
      <c r="B12" s="223"/>
      <c r="C12" s="541" t="s">
        <v>8</v>
      </c>
      <c r="D12" s="541"/>
      <c r="E12" s="541"/>
      <c r="F12" s="541"/>
      <c r="G12" s="541"/>
      <c r="H12" s="541"/>
      <c r="I12" s="541"/>
      <c r="J12" s="541"/>
      <c r="K12" s="541"/>
      <c r="L12" s="541"/>
      <c r="M12" s="541"/>
      <c r="N12" s="506"/>
      <c r="O12" s="506"/>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FX12" s="8"/>
      <c r="FY12" s="8"/>
      <c r="FZ12" s="8"/>
      <c r="GA12" s="8"/>
      <c r="GB12" s="8"/>
      <c r="GC12" s="8"/>
      <c r="GD12" s="8"/>
      <c r="GE12" s="8"/>
      <c r="GF12" s="8"/>
      <c r="GG12" s="8"/>
      <c r="GH12" s="8"/>
      <c r="GI12" s="8"/>
      <c r="GJ12" s="8"/>
      <c r="GK12" s="8"/>
      <c r="GL12" s="8"/>
      <c r="GM12" s="8"/>
      <c r="GN12" s="8"/>
      <c r="GO12" s="8"/>
      <c r="GP12" s="8"/>
      <c r="GQ12" s="8"/>
      <c r="GR12" s="8"/>
      <c r="GS12" s="8"/>
      <c r="GT12" s="8"/>
      <c r="GU12" s="8"/>
      <c r="GV12" s="8"/>
      <c r="GW12" s="8"/>
      <c r="GX12" s="8"/>
      <c r="GY12" s="8"/>
      <c r="GZ12" s="8"/>
      <c r="HA12" s="8"/>
      <c r="HB12" s="8"/>
      <c r="HC12" s="8"/>
      <c r="HD12" s="8"/>
      <c r="HE12" s="8"/>
      <c r="HF12" s="8"/>
      <c r="HG12" s="8"/>
      <c r="HH12" s="8"/>
      <c r="HI12" s="8"/>
      <c r="HJ12" s="8"/>
      <c r="HK12" s="8"/>
      <c r="HL12" s="8"/>
      <c r="HM12" s="8"/>
      <c r="HN12" s="8"/>
      <c r="HO12" s="8"/>
      <c r="HP12" s="8"/>
      <c r="HQ12" s="8"/>
      <c r="HR12" s="8"/>
      <c r="HS12" s="8"/>
      <c r="HT12" s="8"/>
      <c r="HU12" s="8"/>
      <c r="HV12" s="8"/>
      <c r="HW12" s="8"/>
      <c r="HX12" s="8"/>
      <c r="HY12" s="8"/>
      <c r="HZ12" s="8"/>
      <c r="IA12" s="8"/>
      <c r="IB12" s="8"/>
      <c r="IC12" s="8"/>
      <c r="ID12" s="8"/>
      <c r="IE12" s="8"/>
      <c r="IF12" s="8"/>
      <c r="IG12" s="8"/>
      <c r="IH12" s="8"/>
      <c r="II12" s="8"/>
      <c r="IJ12" s="8"/>
      <c r="IK12" s="8"/>
      <c r="IL12" s="8"/>
      <c r="IM12" s="8"/>
      <c r="IN12" s="8"/>
      <c r="IO12" s="8"/>
      <c r="IP12" s="8"/>
      <c r="IQ12" s="8"/>
      <c r="IR12" s="8"/>
    </row>
    <row r="13" spans="1:252" ht="21.75" customHeight="1" thickBot="1" x14ac:dyDescent="0.3">
      <c r="A13" s="9" t="s">
        <v>0</v>
      </c>
      <c r="B13" s="224"/>
      <c r="C13" s="177" t="s">
        <v>9</v>
      </c>
      <c r="D13" s="179">
        <v>489620</v>
      </c>
      <c r="E13" s="179">
        <f>965863.751778925-72691-5544</f>
        <v>887628.75177892495</v>
      </c>
      <c r="F13" s="179">
        <v>822507.64</v>
      </c>
      <c r="G13" s="179">
        <v>973060.75177892495</v>
      </c>
      <c r="H13" s="179">
        <f>973060.751778925-137658-200000</f>
        <v>635402.75177892495</v>
      </c>
      <c r="I13" s="179">
        <f>635402.751778925-115514</f>
        <v>519888.75177892495</v>
      </c>
      <c r="J13" s="179">
        <f>973060.751778925+16013</f>
        <v>989073.75177892495</v>
      </c>
      <c r="K13" s="179">
        <f>973060.751778925-137658-200000</f>
        <v>635402.75177892495</v>
      </c>
      <c r="L13" s="179">
        <f>973060.751778925-137658-200000-317702</f>
        <v>317700.75177892495</v>
      </c>
      <c r="M13" s="179">
        <f>973060.751778925-137658-200000</f>
        <v>635402.75177892495</v>
      </c>
      <c r="N13" s="179">
        <f>K13*0.2</f>
        <v>127080.550355785</v>
      </c>
      <c r="O13" s="179">
        <f>K13*0.1</f>
        <v>63540.275177892501</v>
      </c>
      <c r="P13" s="117"/>
      <c r="Q13" s="47">
        <v>5.4844280094295442E-2</v>
      </c>
      <c r="R13" s="497">
        <f>-5265526*40%*Q13</f>
        <v>-115513.59311511804</v>
      </c>
      <c r="S13" s="117"/>
      <c r="T13" s="46" t="s">
        <v>351</v>
      </c>
      <c r="U13" s="117"/>
      <c r="V13" s="46"/>
      <c r="W13" s="46"/>
      <c r="X13" s="46"/>
      <c r="Y13" s="47"/>
      <c r="Z13" s="46"/>
      <c r="AA13" s="47"/>
      <c r="AB13" s="46"/>
      <c r="AC13" s="47"/>
      <c r="AD13" s="47"/>
      <c r="AE13" s="46"/>
      <c r="AF13" s="115"/>
      <c r="AG13" s="115"/>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row>
    <row r="14" spans="1:252" ht="21.75" customHeight="1" thickBot="1" x14ac:dyDescent="0.3">
      <c r="A14" s="9" t="s">
        <v>0</v>
      </c>
      <c r="B14" s="224"/>
      <c r="C14" s="349" t="s">
        <v>275</v>
      </c>
      <c r="D14" s="179">
        <v>2893620</v>
      </c>
      <c r="E14" s="179">
        <f>2121264.38624504-159646-12177</f>
        <v>1949441.3862450402</v>
      </c>
      <c r="F14" s="179">
        <v>4608941.76</v>
      </c>
      <c r="G14" s="179">
        <v>2140527.3862450402</v>
      </c>
      <c r="H14" s="179">
        <f>2140527.38624504+74049</f>
        <v>2214576.3862450402</v>
      </c>
      <c r="I14" s="179">
        <f>2214576.38624504-402601</f>
        <v>1811975.3862450402</v>
      </c>
      <c r="J14" s="179">
        <f>2140527.38624504+35224</f>
        <v>2175751.3862450402</v>
      </c>
      <c r="K14" s="179">
        <f>2175751.38624504+181448+80703</f>
        <v>2437902.3862450402</v>
      </c>
      <c r="L14" s="179">
        <f>2175751.38624504+181448+80703+544417+158851+125000</f>
        <v>3266170.3862450402</v>
      </c>
      <c r="M14" s="179">
        <f>2175751.38624504+593323+84906</f>
        <v>2853980.3862450402</v>
      </c>
      <c r="N14" s="179">
        <f>2175751.38624504+593323+84906+511832+317702+125000-63540</f>
        <v>3744974.3862450402</v>
      </c>
      <c r="O14" s="179">
        <f>2175751.38624504+593323+84906+548069+317702+125000-31770</f>
        <v>3812981.3862450402</v>
      </c>
      <c r="P14" s="117"/>
      <c r="Q14" s="47">
        <v>0.19114938875759538</v>
      </c>
      <c r="R14" s="497">
        <f t="shared" ref="R14:R16" si="0">-5265526*40%*Q14</f>
        <v>-402600.83055489045</v>
      </c>
      <c r="S14" s="117"/>
      <c r="T14" s="46"/>
      <c r="U14" s="117"/>
      <c r="V14" s="46"/>
      <c r="W14" s="46"/>
      <c r="X14" s="46"/>
      <c r="Y14" s="47"/>
      <c r="Z14" s="46"/>
      <c r="AA14" s="47"/>
      <c r="AB14" s="46"/>
      <c r="AC14" s="47"/>
      <c r="AD14" s="47"/>
      <c r="AE14" s="46"/>
      <c r="AF14" s="115"/>
      <c r="AG14" s="115"/>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row>
    <row r="15" spans="1:252" ht="21" customHeight="1" thickBot="1" x14ac:dyDescent="0.3">
      <c r="A15" s="9" t="s">
        <v>0</v>
      </c>
      <c r="B15" s="224"/>
      <c r="C15" s="349" t="s">
        <v>347</v>
      </c>
      <c r="D15" s="179">
        <v>4573515</v>
      </c>
      <c r="E15" s="179">
        <f>3369116.87347305-253560-19340</f>
        <v>3096216.8734730501</v>
      </c>
      <c r="F15" s="179">
        <v>4394965</v>
      </c>
      <c r="G15" s="179">
        <v>3385933.8734730501</v>
      </c>
      <c r="H15" s="179">
        <f>3385933.87347305+200000+1000000</f>
        <v>4585933.8734730501</v>
      </c>
      <c r="I15" s="179">
        <f>4585933.87347305-833704</f>
        <v>3752229.8734730501</v>
      </c>
      <c r="J15" s="179">
        <f>3385933.87347305+55719</f>
        <v>3441652.8734730501</v>
      </c>
      <c r="K15" s="179">
        <f>3441652.87347305+200000+1000000</f>
        <v>4641652.8734730501</v>
      </c>
      <c r="L15" s="179">
        <f>3441652.87347305+200000+1000000-1600000</f>
        <v>3041652.8734730501</v>
      </c>
      <c r="M15" s="179">
        <f>3441652.87347305+200000+1000000</f>
        <v>4641652.8734730501</v>
      </c>
      <c r="N15" s="179">
        <f>3441652.87347305+200000+1000000-1600000</f>
        <v>3041652.8734730501</v>
      </c>
      <c r="O15" s="179">
        <f>3441652.87347305+200000+1000000-1600000</f>
        <v>3041652.8734730501</v>
      </c>
      <c r="P15" s="117"/>
      <c r="Q15" s="47">
        <v>0.39583121279616618</v>
      </c>
      <c r="R15" s="497">
        <f t="shared" si="0"/>
        <v>-833703.81703589822</v>
      </c>
      <c r="S15" s="117"/>
      <c r="T15" s="46" t="s">
        <v>352</v>
      </c>
      <c r="U15" s="117"/>
      <c r="V15" s="46"/>
      <c r="W15" s="46"/>
      <c r="X15" s="46"/>
      <c r="Y15" s="47"/>
      <c r="Z15" s="46"/>
      <c r="AA15" s="47"/>
      <c r="AB15" s="46"/>
      <c r="AC15" s="47"/>
      <c r="AD15" s="47"/>
      <c r="AE15" s="46"/>
      <c r="AF15" s="115"/>
      <c r="AG15" s="115"/>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row>
    <row r="16" spans="1:252" ht="18.75" thickBot="1" x14ac:dyDescent="0.3">
      <c r="A16" s="9" t="s">
        <v>0</v>
      </c>
      <c r="B16" s="224"/>
      <c r="C16" s="177" t="s">
        <v>219</v>
      </c>
      <c r="D16" s="179">
        <v>4303596</v>
      </c>
      <c r="E16" s="179">
        <f>4126723.20818565-310577-23688</f>
        <v>3792458.2081856499</v>
      </c>
      <c r="F16" s="179">
        <v>6126982</v>
      </c>
      <c r="G16" s="179">
        <v>4149666.2081856499</v>
      </c>
      <c r="H16" s="179">
        <f>4149666.20818565</f>
        <v>4149666.2081856499</v>
      </c>
      <c r="I16" s="179">
        <f>4149666.20818565-754392</f>
        <v>3395274.2081856499</v>
      </c>
      <c r="J16" s="179">
        <f>4149666.20818565+68287-1+0.49</f>
        <v>4217952.6981856506</v>
      </c>
      <c r="K16" s="179">
        <f>4217952.69818565</f>
        <v>4217952.6981856497</v>
      </c>
      <c r="L16" s="179">
        <f>4217952.69818565+544417+158851+125000</f>
        <v>5046220.6981856497</v>
      </c>
      <c r="M16" s="179">
        <f>4217952.69818565</f>
        <v>4217952.6981856497</v>
      </c>
      <c r="N16" s="179">
        <f>4217952.69818565+511832+317701+125000-63541</f>
        <v>5108944.6981856497</v>
      </c>
      <c r="O16" s="179">
        <f>4217952.69818565+548068+317701+125000-31770</f>
        <v>5176951.6981856497</v>
      </c>
      <c r="P16" s="117"/>
      <c r="Q16" s="47">
        <v>0.35817511835194299</v>
      </c>
      <c r="R16" s="497">
        <f t="shared" si="0"/>
        <v>-754392.15929409314</v>
      </c>
      <c r="S16" s="117"/>
      <c r="T16" s="46"/>
      <c r="U16" s="117"/>
      <c r="V16" s="46"/>
      <c r="W16" s="46"/>
      <c r="X16" s="46"/>
      <c r="Y16" s="47"/>
      <c r="Z16" s="46"/>
      <c r="AA16" s="47"/>
      <c r="AB16" s="46"/>
      <c r="AC16" s="47"/>
      <c r="AD16" s="47"/>
      <c r="AE16" s="46"/>
      <c r="AF16" s="115"/>
      <c r="AG16" s="115"/>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c r="DB16" s="6"/>
      <c r="DC16" s="6"/>
      <c r="DD16" s="6"/>
      <c r="DE16" s="6"/>
      <c r="DF16" s="6"/>
      <c r="DG16" s="6"/>
      <c r="DH16" s="6"/>
      <c r="DI16" s="6"/>
      <c r="DJ16" s="6"/>
      <c r="DK16" s="6"/>
      <c r="DL16" s="6"/>
      <c r="DM16" s="6"/>
      <c r="DN16" s="6"/>
      <c r="DO16" s="6"/>
      <c r="DP16" s="6"/>
      <c r="DQ16" s="6"/>
      <c r="DR16" s="6"/>
      <c r="DS16" s="6"/>
      <c r="DT16" s="6"/>
      <c r="DU16" s="6"/>
      <c r="DV16" s="6"/>
      <c r="DW16" s="6"/>
      <c r="DX16" s="6"/>
      <c r="DY16" s="6"/>
      <c r="DZ16" s="6"/>
      <c r="EA16" s="6"/>
      <c r="EB16" s="6"/>
      <c r="EC16" s="6"/>
      <c r="ED16" s="6"/>
      <c r="EE16" s="6"/>
      <c r="EF16" s="6"/>
      <c r="EG16" s="6"/>
      <c r="EH16" s="6"/>
      <c r="EI16" s="6"/>
      <c r="EJ16" s="6"/>
      <c r="EK16" s="6"/>
      <c r="EL16" s="6"/>
      <c r="EM16" s="6"/>
      <c r="EN16" s="6"/>
      <c r="EO16" s="6"/>
      <c r="EP16" s="6"/>
      <c r="EQ16" s="6"/>
      <c r="ER16" s="6"/>
      <c r="ES16" s="6"/>
      <c r="ET16" s="6"/>
      <c r="EU16" s="6"/>
      <c r="EV16" s="6"/>
      <c r="EW16" s="6"/>
      <c r="EX16" s="6"/>
      <c r="EY16" s="6"/>
      <c r="EZ16" s="6"/>
      <c r="FA16" s="6"/>
      <c r="FB16" s="6"/>
      <c r="FC16" s="6"/>
      <c r="FD16" s="6"/>
      <c r="FE16" s="6"/>
      <c r="FF16" s="6"/>
      <c r="FG16" s="6"/>
      <c r="FH16" s="6"/>
      <c r="FI16" s="6"/>
      <c r="FJ16" s="6"/>
      <c r="FK16" s="6"/>
      <c r="FL16" s="6"/>
      <c r="FM16" s="6"/>
      <c r="FN16" s="6"/>
      <c r="FO16" s="6"/>
      <c r="FP16" s="6"/>
      <c r="FQ16" s="6"/>
      <c r="FR16" s="6"/>
      <c r="FS16" s="6"/>
      <c r="FT16" s="6"/>
      <c r="FU16" s="6"/>
      <c r="FV16" s="6"/>
      <c r="FW16" s="6"/>
      <c r="FX16" s="6"/>
      <c r="FY16" s="6"/>
      <c r="FZ16" s="6"/>
      <c r="GA16" s="6"/>
      <c r="GB16" s="6"/>
      <c r="GC16" s="6"/>
      <c r="GD16" s="6"/>
      <c r="GE16" s="6"/>
      <c r="GF16" s="6"/>
      <c r="GG16" s="6"/>
      <c r="GH16" s="6"/>
      <c r="GI16" s="6"/>
      <c r="GJ16" s="6"/>
      <c r="GK16" s="6"/>
      <c r="GL16" s="6"/>
      <c r="GM16" s="6"/>
      <c r="GN16" s="6"/>
      <c r="GO16" s="6"/>
      <c r="GP16" s="6"/>
      <c r="GQ16" s="6"/>
      <c r="GR16" s="6"/>
      <c r="GS16" s="6"/>
      <c r="GT16" s="6"/>
      <c r="GU16" s="6"/>
      <c r="GV16" s="6"/>
      <c r="GW16" s="6"/>
      <c r="GX16" s="6"/>
      <c r="GY16" s="6"/>
      <c r="GZ16" s="6"/>
      <c r="HA16" s="6"/>
      <c r="HB16" s="6"/>
      <c r="HC16" s="6"/>
      <c r="HD16" s="6"/>
      <c r="HE16" s="6"/>
      <c r="HF16" s="6"/>
      <c r="HG16" s="6"/>
      <c r="HH16" s="6"/>
      <c r="HI16" s="6"/>
      <c r="HJ16" s="6"/>
      <c r="HK16" s="6"/>
      <c r="HL16" s="6"/>
      <c r="HM16" s="6"/>
      <c r="HN16" s="6"/>
      <c r="HO16" s="6"/>
      <c r="HP16" s="6"/>
      <c r="HQ16" s="6"/>
      <c r="HR16" s="6"/>
      <c r="HS16" s="6"/>
      <c r="HT16" s="6"/>
      <c r="HU16" s="6"/>
      <c r="HV16" s="6"/>
      <c r="HW16" s="6"/>
      <c r="HX16" s="6"/>
      <c r="HY16" s="6"/>
      <c r="HZ16" s="6"/>
      <c r="IA16" s="6"/>
      <c r="IB16" s="6"/>
      <c r="IC16" s="6"/>
      <c r="ID16" s="6"/>
      <c r="IE16" s="6"/>
      <c r="IF16" s="6"/>
      <c r="IG16" s="6"/>
      <c r="IH16" s="6"/>
      <c r="II16" s="6"/>
      <c r="IJ16" s="6"/>
      <c r="IK16" s="6"/>
      <c r="IL16" s="6"/>
      <c r="IM16" s="6"/>
      <c r="IN16" s="6"/>
      <c r="IO16" s="6"/>
      <c r="IP16" s="6"/>
      <c r="IQ16" s="6"/>
      <c r="IR16" s="6"/>
    </row>
    <row r="17" spans="1:252" ht="21.75" customHeight="1" thickBot="1" x14ac:dyDescent="0.3">
      <c r="A17" s="9" t="s">
        <v>0</v>
      </c>
      <c r="B17" s="224"/>
      <c r="C17" s="177" t="s">
        <v>124</v>
      </c>
      <c r="D17" s="179">
        <v>0</v>
      </c>
      <c r="E17" s="179">
        <v>0</v>
      </c>
      <c r="F17" s="179">
        <v>0</v>
      </c>
      <c r="G17" s="179">
        <v>0</v>
      </c>
      <c r="H17" s="179">
        <f>10000</f>
        <v>10000</v>
      </c>
      <c r="I17" s="179">
        <f>10000</f>
        <v>10000</v>
      </c>
      <c r="J17" s="179">
        <v>0</v>
      </c>
      <c r="K17" s="179">
        <f>10000</f>
        <v>10000</v>
      </c>
      <c r="L17" s="179">
        <f>10000</f>
        <v>10000</v>
      </c>
      <c r="M17" s="179">
        <f>10000</f>
        <v>10000</v>
      </c>
      <c r="N17" s="179">
        <f>10000</f>
        <v>10000</v>
      </c>
      <c r="O17" s="179">
        <f>10000</f>
        <v>10000</v>
      </c>
      <c r="P17" s="138" t="s">
        <v>5</v>
      </c>
      <c r="Q17" s="47" t="s">
        <v>5</v>
      </c>
      <c r="R17" s="47"/>
      <c r="S17" s="117"/>
      <c r="T17" s="46"/>
      <c r="U17" s="117"/>
      <c r="V17" s="46"/>
      <c r="W17" s="46"/>
      <c r="X17" s="46"/>
      <c r="Y17" s="47"/>
      <c r="Z17" s="46"/>
      <c r="AA17" s="47"/>
      <c r="AB17" s="46"/>
      <c r="AC17" s="47"/>
      <c r="AD17" s="47"/>
      <c r="AE17" s="46"/>
      <c r="AF17" s="115"/>
      <c r="AG17" s="115"/>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6"/>
      <c r="CU17" s="6"/>
      <c r="CV17" s="6"/>
      <c r="CW17" s="6"/>
      <c r="CX17" s="6"/>
      <c r="CY17" s="6"/>
      <c r="CZ17" s="6"/>
      <c r="DA17" s="6"/>
      <c r="DB17" s="6"/>
      <c r="DC17" s="6"/>
      <c r="DD17" s="6"/>
      <c r="DE17" s="6"/>
      <c r="DF17" s="6"/>
      <c r="DG17" s="6"/>
      <c r="DH17" s="6"/>
      <c r="DI17" s="6"/>
      <c r="DJ17" s="6"/>
      <c r="DK17" s="6"/>
      <c r="DL17" s="6"/>
      <c r="DM17" s="6"/>
      <c r="DN17" s="6"/>
      <c r="DO17" s="6"/>
      <c r="DP17" s="6"/>
      <c r="DQ17" s="6"/>
      <c r="DR17" s="6"/>
      <c r="DS17" s="6"/>
      <c r="DT17" s="6"/>
      <c r="DU17" s="6"/>
      <c r="DV17" s="6"/>
      <c r="DW17" s="6"/>
      <c r="DX17" s="6"/>
      <c r="DY17" s="6"/>
      <c r="DZ17" s="6"/>
      <c r="EA17" s="6"/>
      <c r="EB17" s="6"/>
      <c r="EC17" s="6"/>
      <c r="ED17" s="6"/>
      <c r="EE17" s="6"/>
      <c r="EF17" s="6"/>
      <c r="EG17" s="6"/>
      <c r="EH17" s="6"/>
      <c r="EI17" s="6"/>
      <c r="EJ17" s="6"/>
      <c r="EK17" s="6"/>
      <c r="EL17" s="6"/>
      <c r="EM17" s="6"/>
      <c r="EN17" s="6"/>
      <c r="EO17" s="6"/>
      <c r="EP17" s="6"/>
      <c r="EQ17" s="6"/>
      <c r="ER17" s="6"/>
      <c r="ES17" s="6"/>
      <c r="ET17" s="6"/>
      <c r="EU17" s="6"/>
      <c r="EV17" s="6"/>
      <c r="EW17" s="6"/>
      <c r="EX17" s="6"/>
      <c r="EY17" s="6"/>
      <c r="EZ17" s="6"/>
      <c r="FA17" s="6"/>
      <c r="FB17" s="6"/>
      <c r="FC17" s="6"/>
      <c r="FD17" s="6"/>
      <c r="FE17" s="6"/>
      <c r="FF17" s="6"/>
      <c r="FG17" s="6"/>
      <c r="FH17" s="6"/>
      <c r="FI17" s="6"/>
      <c r="FJ17" s="6"/>
      <c r="FK17" s="6"/>
      <c r="FL17" s="6"/>
      <c r="FM17" s="6"/>
      <c r="FN17" s="6"/>
      <c r="FO17" s="6"/>
      <c r="FP17" s="6"/>
      <c r="FQ17" s="6"/>
      <c r="FR17" s="6"/>
      <c r="FS17" s="6"/>
      <c r="FT17" s="6"/>
      <c r="FU17" s="6"/>
      <c r="FV17" s="6"/>
      <c r="FW17" s="6"/>
      <c r="FX17" s="6"/>
      <c r="FY17" s="6"/>
      <c r="FZ17" s="6"/>
      <c r="GA17" s="6"/>
      <c r="GB17" s="6"/>
      <c r="GC17" s="6"/>
      <c r="GD17" s="6"/>
      <c r="GE17" s="6"/>
      <c r="GF17" s="6"/>
      <c r="GG17" s="6"/>
      <c r="GH17" s="6"/>
      <c r="GI17" s="6"/>
      <c r="GJ17" s="6"/>
      <c r="GK17" s="6"/>
      <c r="GL17" s="6"/>
      <c r="GM17" s="6"/>
      <c r="GN17" s="6"/>
      <c r="GO17" s="6"/>
      <c r="GP17" s="6"/>
      <c r="GQ17" s="6"/>
      <c r="GR17" s="6"/>
      <c r="GS17" s="6"/>
      <c r="GT17" s="6"/>
      <c r="GU17" s="6"/>
      <c r="GV17" s="6"/>
      <c r="GW17" s="6"/>
      <c r="GX17" s="6"/>
      <c r="GY17" s="6"/>
      <c r="GZ17" s="6"/>
      <c r="HA17" s="6"/>
      <c r="HB17" s="6"/>
      <c r="HC17" s="6"/>
      <c r="HD17" s="6"/>
      <c r="HE17" s="6"/>
      <c r="HF17" s="6"/>
      <c r="HG17" s="6"/>
      <c r="HH17" s="6"/>
      <c r="HI17" s="6"/>
      <c r="HJ17" s="6"/>
      <c r="HK17" s="6"/>
      <c r="HL17" s="6"/>
      <c r="HM17" s="6"/>
      <c r="HN17" s="6"/>
      <c r="HO17" s="6"/>
      <c r="HP17" s="6"/>
      <c r="HQ17" s="6"/>
      <c r="HR17" s="6"/>
      <c r="HS17" s="6"/>
      <c r="HT17" s="6"/>
      <c r="HU17" s="6"/>
      <c r="HV17" s="6"/>
      <c r="HW17" s="6"/>
      <c r="HX17" s="6"/>
      <c r="HY17" s="6"/>
      <c r="HZ17" s="6"/>
      <c r="IA17" s="6"/>
      <c r="IB17" s="6"/>
      <c r="IC17" s="6"/>
      <c r="ID17" s="6"/>
      <c r="IE17" s="6"/>
      <c r="IF17" s="6"/>
      <c r="IG17" s="6"/>
      <c r="IH17" s="6"/>
      <c r="II17" s="6"/>
      <c r="IJ17" s="6"/>
      <c r="IK17" s="6"/>
      <c r="IL17" s="6"/>
      <c r="IM17" s="6"/>
      <c r="IN17" s="6"/>
      <c r="IO17" s="6"/>
      <c r="IP17" s="6"/>
      <c r="IQ17" s="6"/>
      <c r="IR17" s="6"/>
    </row>
    <row r="18" spans="1:252" ht="18.75" thickBot="1" x14ac:dyDescent="0.3">
      <c r="A18" s="6"/>
      <c r="B18" s="223"/>
      <c r="C18" s="176" t="s">
        <v>213</v>
      </c>
      <c r="D18" s="180">
        <f t="shared" ref="D18:M18" si="1">SUM(D13:D17)</f>
        <v>12260351</v>
      </c>
      <c r="E18" s="180">
        <f t="shared" ref="E18" si="2">SUM(E13:E17)</f>
        <v>9725745.2196826655</v>
      </c>
      <c r="F18" s="180">
        <f t="shared" si="1"/>
        <v>15953396.399999999</v>
      </c>
      <c r="G18" s="180">
        <f t="shared" ref="G18" si="3">SUM(G13:G17)</f>
        <v>10649188.219682666</v>
      </c>
      <c r="H18" s="180">
        <f t="shared" ref="H18" si="4">SUM(H13:H17)</f>
        <v>11595579.219682666</v>
      </c>
      <c r="I18" s="180">
        <f t="shared" si="1"/>
        <v>9489368.2196826655</v>
      </c>
      <c r="J18" s="180">
        <f t="shared" ref="J18:K18" si="5">SUM(J13:J17)</f>
        <v>10824430.709682666</v>
      </c>
      <c r="K18" s="180">
        <f t="shared" si="5"/>
        <v>11942910.709682666</v>
      </c>
      <c r="L18" s="180">
        <f t="shared" ref="L18" si="6">SUM(L13:L17)</f>
        <v>11681744.709682666</v>
      </c>
      <c r="M18" s="180">
        <f t="shared" si="1"/>
        <v>12358988.709682666</v>
      </c>
      <c r="N18" s="180">
        <f t="shared" ref="N18:O18" si="7">SUM(N13:N17)</f>
        <v>12032652.508259524</v>
      </c>
      <c r="O18" s="180">
        <f t="shared" si="7"/>
        <v>12105126.233081631</v>
      </c>
      <c r="P18" s="137"/>
      <c r="Q18" s="47">
        <f>SUM(Q13:Q17)</f>
        <v>1</v>
      </c>
      <c r="R18" s="497">
        <f>SUM(R13:R17)</f>
        <v>-2106210.4</v>
      </c>
      <c r="S18" s="117"/>
      <c r="T18" s="46"/>
      <c r="U18" s="117"/>
      <c r="V18" s="46"/>
      <c r="W18" s="46"/>
      <c r="X18" s="46"/>
      <c r="Y18" s="47"/>
      <c r="Z18" s="60"/>
      <c r="AA18" s="122"/>
      <c r="AB18" s="60"/>
      <c r="AC18" s="47"/>
      <c r="AD18" s="122"/>
      <c r="AE18" s="60"/>
      <c r="AF18" s="116"/>
      <c r="AG18" s="115"/>
    </row>
    <row r="19" spans="1:252" ht="22.5" customHeight="1" thickBot="1" x14ac:dyDescent="0.3">
      <c r="A19" s="8"/>
      <c r="B19" s="223"/>
      <c r="C19" s="542" t="s">
        <v>1</v>
      </c>
      <c r="D19" s="542"/>
      <c r="E19" s="542"/>
      <c r="F19" s="542"/>
      <c r="G19" s="542"/>
      <c r="H19" s="542"/>
      <c r="I19" s="542"/>
      <c r="J19" s="542"/>
      <c r="K19" s="542"/>
      <c r="L19" s="542"/>
      <c r="M19" s="542"/>
      <c r="N19" s="507"/>
      <c r="O19" s="507"/>
      <c r="P19" s="117"/>
      <c r="Q19" s="47"/>
      <c r="R19" s="46"/>
      <c r="S19" s="117"/>
      <c r="T19" s="46"/>
      <c r="U19" s="117"/>
      <c r="V19" s="46"/>
      <c r="W19" s="46"/>
      <c r="X19" s="46"/>
      <c r="Y19" s="47"/>
      <c r="Z19" s="46"/>
      <c r="AA19" s="47"/>
      <c r="AB19" s="46"/>
      <c r="AC19" s="47"/>
      <c r="AD19" s="47"/>
      <c r="AE19" s="46"/>
      <c r="AF19" s="115"/>
      <c r="AG19" s="115"/>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row>
    <row r="20" spans="1:252" ht="18.75" thickBot="1" x14ac:dyDescent="0.3">
      <c r="A20" s="10" t="s">
        <v>2</v>
      </c>
      <c r="B20" s="223"/>
      <c r="C20" s="181" t="s">
        <v>94</v>
      </c>
      <c r="D20" s="179">
        <v>3510955</v>
      </c>
      <c r="E20" s="179">
        <f>4575774.10094558-706098-53856</f>
        <v>3815820.1009455798</v>
      </c>
      <c r="F20" s="179">
        <v>3754255</v>
      </c>
      <c r="G20" s="179">
        <v>4609686.1009455798</v>
      </c>
      <c r="H20" s="179">
        <f>4609686.10094558-68829-400000</f>
        <v>4140857.1009455798</v>
      </c>
      <c r="I20" s="179">
        <f>4140857.10094558-1397349+1+1000000</f>
        <v>3743509.1009455798</v>
      </c>
      <c r="J20" s="179">
        <f>4609686.10094558+75857</f>
        <v>4685543.1009455798</v>
      </c>
      <c r="K20" s="179">
        <f>4685543.10094558-400000</f>
        <v>4285543.1009455798</v>
      </c>
      <c r="L20" s="179">
        <f>4685543.10094558-400000-125000</f>
        <v>4160543.1009455798</v>
      </c>
      <c r="M20" s="179">
        <f>4685543.10094558-400000</f>
        <v>4285543.1009455798</v>
      </c>
      <c r="N20" s="179">
        <f>4685543.10094558-400000-125000</f>
        <v>4160543.1009455798</v>
      </c>
      <c r="O20" s="179">
        <f>4685543.10094558-400000-125000</f>
        <v>4160543.1009455798</v>
      </c>
      <c r="P20" s="117"/>
      <c r="Q20" s="47">
        <v>0.44229476217817121</v>
      </c>
      <c r="R20" s="497">
        <f>-5265526*60%*Q20</f>
        <v>-1397348.7419477864</v>
      </c>
      <c r="S20" s="117"/>
      <c r="T20" s="46"/>
      <c r="U20" s="117"/>
      <c r="V20" s="46"/>
      <c r="W20" s="46"/>
      <c r="X20" s="46"/>
      <c r="Y20" s="47"/>
      <c r="Z20" s="46"/>
      <c r="AA20" s="47"/>
      <c r="AB20" s="46"/>
      <c r="AC20" s="47"/>
      <c r="AD20" s="47"/>
      <c r="AE20" s="46"/>
      <c r="AF20" s="115"/>
      <c r="AG20" s="115"/>
    </row>
    <row r="21" spans="1:252" ht="21.75" customHeight="1" thickBot="1" x14ac:dyDescent="0.3">
      <c r="A21" s="10" t="s">
        <v>2</v>
      </c>
      <c r="B21" s="223"/>
      <c r="C21" s="177" t="s">
        <v>95</v>
      </c>
      <c r="D21" s="179">
        <v>3377127</v>
      </c>
      <c r="E21" s="179">
        <f>4263861.53594558-657966-50185+1</f>
        <v>3555711.5359455803</v>
      </c>
      <c r="F21" s="179">
        <v>732274</v>
      </c>
      <c r="G21" s="179">
        <f>4297326.47094558-75000+75000-1931+83</f>
        <v>4295478.4709455799</v>
      </c>
      <c r="H21" s="179">
        <f>4295478.47094558-68829+74049-17569.42-400000-7345-106251</f>
        <v>3769533.05094558</v>
      </c>
      <c r="I21" s="179">
        <f>3769533.05094558-1272044-1000000</f>
        <v>1497489.05094558</v>
      </c>
      <c r="J21" s="179">
        <f>4297326.47094558+70717-75000+75000-1931+83+0.07</f>
        <v>4366195.5409455802</v>
      </c>
      <c r="K21" s="179">
        <f>4366195.54094558+80703-17569-400000-7345-109420-87500</f>
        <v>3825064.5409455802</v>
      </c>
      <c r="L21" s="179">
        <f>4366195.54094558+80703-17569-400000-7345-109420-87500</f>
        <v>3825064.5409455802</v>
      </c>
      <c r="M21" s="179">
        <f>4366195.54094558+84906-17570-400000-7345-111421</f>
        <v>3914765.5409455802</v>
      </c>
      <c r="N21" s="179">
        <f>4366195.54094558+84906-17570-400000-7345-111421-87500</f>
        <v>3827265.5409455802</v>
      </c>
      <c r="O21" s="179">
        <f>4366195.54094558+84906-17570-400000-7345-111421-87500</f>
        <v>3827265.5409455802</v>
      </c>
      <c r="P21" s="117"/>
      <c r="Q21" s="47">
        <v>0.40263276023459249</v>
      </c>
      <c r="R21" s="497">
        <f t="shared" ref="R21:R23" si="8">-5265526*60%*Q21</f>
        <v>-1272043.9604802078</v>
      </c>
      <c r="S21" s="117"/>
      <c r="T21" s="46"/>
      <c r="U21" s="117"/>
      <c r="V21" s="46"/>
      <c r="W21" s="46"/>
      <c r="X21" s="46"/>
      <c r="Y21" s="47"/>
      <c r="Z21" s="46"/>
      <c r="AA21" s="47"/>
      <c r="AB21" s="46"/>
      <c r="AC21" s="47"/>
      <c r="AD21" s="47"/>
      <c r="AE21" s="46"/>
      <c r="AF21" s="115"/>
      <c r="AG21" s="115"/>
    </row>
    <row r="22" spans="1:252" ht="36.75" thickBot="1" x14ac:dyDescent="0.3">
      <c r="A22" s="10" t="s">
        <v>2</v>
      </c>
      <c r="B22" s="223"/>
      <c r="C22" s="183" t="s">
        <v>276</v>
      </c>
      <c r="D22" s="179">
        <v>645936</v>
      </c>
      <c r="E22" s="179">
        <f>710086.71374376-109575-8358</f>
        <v>592153.71374376002</v>
      </c>
      <c r="F22" s="179">
        <v>408183</v>
      </c>
      <c r="G22" s="179">
        <v>715349.71374376002</v>
      </c>
      <c r="H22" s="179">
        <f>715349.71374376</f>
        <v>715349.71374376002</v>
      </c>
      <c r="I22" s="179">
        <f>715349.71374376-241398</f>
        <v>473951.71374376002</v>
      </c>
      <c r="J22" s="179">
        <f>715349.71374376+11772</f>
        <v>727121.71374376002</v>
      </c>
      <c r="K22" s="179">
        <f>727121.71374376</f>
        <v>727121.71374376002</v>
      </c>
      <c r="L22" s="179">
        <f>727121.71374376-18750</f>
        <v>708371.71374376002</v>
      </c>
      <c r="M22" s="179">
        <f>727121.71374376</f>
        <v>727121.71374376002</v>
      </c>
      <c r="N22" s="179">
        <f>727121.71374376-18750</f>
        <v>708371.71374376002</v>
      </c>
      <c r="O22" s="179">
        <f>727121.71374376-18750</f>
        <v>708371.71374376002</v>
      </c>
      <c r="P22" s="117"/>
      <c r="Q22" s="47">
        <v>7.6408198544757583E-2</v>
      </c>
      <c r="R22" s="497">
        <f t="shared" si="8"/>
        <v>-241397.61363034992</v>
      </c>
      <c r="S22" s="117"/>
      <c r="T22" s="46"/>
      <c r="U22" s="117"/>
      <c r="V22" s="46"/>
      <c r="W22" s="46"/>
      <c r="X22" s="46"/>
      <c r="Y22" s="47"/>
      <c r="Z22" s="46"/>
      <c r="AA22" s="47"/>
      <c r="AB22" s="46"/>
      <c r="AC22" s="47"/>
      <c r="AD22" s="47"/>
      <c r="AE22" s="46"/>
      <c r="AF22" s="115"/>
      <c r="AG22" s="115"/>
    </row>
    <row r="23" spans="1:252" ht="24.75" customHeight="1" thickBot="1" x14ac:dyDescent="0.3">
      <c r="A23" s="10" t="s">
        <v>2</v>
      </c>
      <c r="B23" s="223"/>
      <c r="C23" s="182" t="s">
        <v>11</v>
      </c>
      <c r="D23" s="179">
        <v>125273</v>
      </c>
      <c r="E23" s="179">
        <f>929582.61648411-143446-10941</f>
        <v>775195.61648411001</v>
      </c>
      <c r="F23" s="179">
        <v>270988</v>
      </c>
      <c r="G23" s="179">
        <v>936471.61648411001</v>
      </c>
      <c r="H23" s="179">
        <f>936471.61648411-200000</f>
        <v>736471.61648411001</v>
      </c>
      <c r="I23" s="179">
        <f>736471.61648411-248525</f>
        <v>487946.61648411001</v>
      </c>
      <c r="J23" s="179">
        <f>936471.61648411+15411</f>
        <v>951882.61648411001</v>
      </c>
      <c r="K23" s="179">
        <f>951882.61648411-200000</f>
        <v>751882.61648411001</v>
      </c>
      <c r="L23" s="179">
        <f>951882.61648411-200000-18750</f>
        <v>733132.61648411001</v>
      </c>
      <c r="M23" s="179">
        <f>951882.61648411-200000</f>
        <v>751882.61648411001</v>
      </c>
      <c r="N23" s="179">
        <f>951882.61648411-200000-18750</f>
        <v>733132.61648411001</v>
      </c>
      <c r="O23" s="179">
        <f>951882.61648411-200000-18750</f>
        <v>733132.61648411001</v>
      </c>
      <c r="P23" s="117"/>
      <c r="Q23" s="47">
        <v>7.866427904247876E-2</v>
      </c>
      <c r="R23" s="497">
        <f t="shared" si="8"/>
        <v>-248525.28394165621</v>
      </c>
      <c r="S23" s="117"/>
      <c r="T23" s="46"/>
      <c r="U23" s="117"/>
      <c r="V23" s="46"/>
      <c r="W23" s="117"/>
      <c r="X23" s="117"/>
      <c r="Y23" s="47"/>
      <c r="Z23" s="46"/>
      <c r="AA23" s="47"/>
      <c r="AB23" s="46"/>
      <c r="AC23" s="47"/>
      <c r="AD23" s="47"/>
      <c r="AE23" s="46"/>
      <c r="AF23" s="115"/>
      <c r="AG23" s="115"/>
    </row>
    <row r="24" spans="1:252" ht="18.75" thickBot="1" x14ac:dyDescent="0.3">
      <c r="A24" s="12"/>
      <c r="B24" s="225"/>
      <c r="C24" s="184" t="s">
        <v>214</v>
      </c>
      <c r="D24" s="180">
        <f t="shared" ref="D24:M24" si="9">SUM(D20:D23)</f>
        <v>7659291</v>
      </c>
      <c r="E24" s="180">
        <f t="shared" ref="E24" si="10">SUM(E20:E23)</f>
        <v>8738880.9671190307</v>
      </c>
      <c r="F24" s="180">
        <f t="shared" si="9"/>
        <v>5165700</v>
      </c>
      <c r="G24" s="180">
        <f t="shared" si="9"/>
        <v>10556985.902119027</v>
      </c>
      <c r="H24" s="180">
        <f t="shared" ref="H24" si="11">SUM(H20:H23)</f>
        <v>9362211.4821190294</v>
      </c>
      <c r="I24" s="180">
        <f t="shared" si="9"/>
        <v>6202896.4821190303</v>
      </c>
      <c r="J24" s="180">
        <f t="shared" si="9"/>
        <v>10730742.972119028</v>
      </c>
      <c r="K24" s="180">
        <f t="shared" si="9"/>
        <v>9589611.9721190296</v>
      </c>
      <c r="L24" s="180">
        <f t="shared" ref="L24" si="12">SUM(L20:L23)</f>
        <v>9427111.9721190296</v>
      </c>
      <c r="M24" s="180">
        <f t="shared" si="9"/>
        <v>9679312.9721190296</v>
      </c>
      <c r="N24" s="180">
        <f t="shared" ref="N24:O24" si="13">SUM(N20:N23)</f>
        <v>9429312.9721190296</v>
      </c>
      <c r="O24" s="180">
        <f t="shared" si="13"/>
        <v>9429312.9721190296</v>
      </c>
      <c r="P24" s="137"/>
      <c r="Q24" s="47">
        <f>SUM(Q20:Q23)</f>
        <v>1</v>
      </c>
      <c r="R24" s="137">
        <f>SUM(R20:R23)</f>
        <v>-3159315.6000000006</v>
      </c>
      <c r="S24" s="117"/>
      <c r="T24" s="46"/>
      <c r="U24" s="117"/>
      <c r="V24" s="46"/>
      <c r="W24" s="137"/>
      <c r="X24" s="137"/>
      <c r="Y24" s="125"/>
      <c r="Z24" s="46"/>
      <c r="AA24" s="125"/>
      <c r="AB24" s="53"/>
      <c r="AC24" s="123"/>
      <c r="AD24" s="125"/>
      <c r="AE24" s="152"/>
      <c r="AF24" s="127"/>
      <c r="AG24" s="127"/>
      <c r="AH24" s="13"/>
      <c r="AI24" s="13"/>
      <c r="AJ24" s="13"/>
      <c r="AK24" s="13"/>
      <c r="AL24" s="13"/>
      <c r="AM24" s="13"/>
      <c r="AN24" s="13"/>
      <c r="AO24" s="13"/>
      <c r="AP24" s="13"/>
      <c r="AQ24" s="13"/>
      <c r="AR24" s="13"/>
      <c r="AS24" s="13"/>
      <c r="AT24" s="13"/>
      <c r="AU24" s="13"/>
      <c r="AV24" s="13"/>
      <c r="AW24" s="13"/>
      <c r="AX24" s="13"/>
      <c r="AY24" s="13"/>
      <c r="AZ24" s="13"/>
      <c r="BA24" s="13"/>
      <c r="BB24" s="13"/>
      <c r="BC24" s="13"/>
      <c r="BD24" s="13"/>
      <c r="BE24" s="13"/>
      <c r="BF24" s="13"/>
      <c r="BG24" s="13"/>
      <c r="BH24" s="13"/>
      <c r="BI24" s="13"/>
      <c r="BJ24" s="13"/>
      <c r="BK24" s="13"/>
      <c r="BL24" s="13"/>
      <c r="BM24" s="13"/>
      <c r="BN24" s="13"/>
      <c r="BO24" s="13"/>
      <c r="BP24" s="13"/>
      <c r="BQ24" s="13"/>
      <c r="BR24" s="13"/>
      <c r="BS24" s="13"/>
      <c r="BT24" s="13"/>
      <c r="BU24" s="13"/>
      <c r="BV24" s="13"/>
      <c r="BW24" s="13"/>
      <c r="BX24" s="13"/>
      <c r="BY24" s="13"/>
      <c r="BZ24" s="13"/>
      <c r="CA24" s="13"/>
      <c r="CB24" s="13"/>
      <c r="CC24" s="13"/>
      <c r="CD24" s="13"/>
      <c r="CE24" s="13"/>
      <c r="CF24" s="13"/>
      <c r="CG24" s="13"/>
      <c r="CH24" s="13"/>
      <c r="CI24" s="13"/>
      <c r="CJ24" s="13"/>
      <c r="CK24" s="13"/>
      <c r="CL24" s="13"/>
      <c r="CM24" s="13"/>
      <c r="CN24" s="13"/>
      <c r="CO24" s="13"/>
      <c r="CP24" s="13"/>
      <c r="CQ24" s="13"/>
      <c r="CR24" s="13"/>
      <c r="CS24" s="13"/>
      <c r="CT24" s="13"/>
      <c r="CU24" s="13"/>
      <c r="CV24" s="13"/>
      <c r="CW24" s="13"/>
      <c r="CX24" s="13"/>
      <c r="CY24" s="13"/>
      <c r="CZ24" s="13"/>
      <c r="DA24" s="13"/>
      <c r="DB24" s="13"/>
      <c r="DC24" s="13"/>
      <c r="DD24" s="13"/>
      <c r="DE24" s="13"/>
      <c r="DF24" s="13"/>
      <c r="DG24" s="13"/>
      <c r="DH24" s="13"/>
      <c r="DI24" s="13"/>
      <c r="DJ24" s="13"/>
      <c r="DK24" s="13"/>
      <c r="DL24" s="13"/>
      <c r="DM24" s="13"/>
      <c r="DN24" s="13"/>
      <c r="DO24" s="13"/>
      <c r="DP24" s="13"/>
      <c r="DQ24" s="13"/>
      <c r="DR24" s="13"/>
      <c r="DS24" s="13"/>
      <c r="DT24" s="13"/>
      <c r="DU24" s="13"/>
      <c r="DV24" s="13"/>
      <c r="DW24" s="13"/>
      <c r="DX24" s="13"/>
      <c r="DY24" s="13"/>
      <c r="DZ24" s="13"/>
      <c r="EA24" s="13"/>
      <c r="EB24" s="13"/>
      <c r="EC24" s="13"/>
      <c r="ED24" s="13"/>
      <c r="EE24" s="13"/>
      <c r="EF24" s="13"/>
      <c r="EG24" s="13"/>
      <c r="EH24" s="13"/>
      <c r="EI24" s="13"/>
      <c r="EJ24" s="13"/>
      <c r="EK24" s="13"/>
      <c r="EL24" s="13"/>
      <c r="EM24" s="13"/>
      <c r="EN24" s="13"/>
      <c r="EO24" s="13"/>
      <c r="EP24" s="13"/>
      <c r="EQ24" s="13"/>
      <c r="ER24" s="13"/>
      <c r="ES24" s="13"/>
      <c r="ET24" s="13"/>
      <c r="EU24" s="13"/>
      <c r="EV24" s="13"/>
      <c r="EW24" s="13"/>
      <c r="EX24" s="13"/>
      <c r="EY24" s="13"/>
      <c r="EZ24" s="13"/>
      <c r="FA24" s="13"/>
      <c r="FB24" s="13"/>
      <c r="FC24" s="13"/>
      <c r="FD24" s="13"/>
      <c r="FE24" s="13"/>
      <c r="FF24" s="13"/>
      <c r="FG24" s="13"/>
      <c r="FH24" s="13"/>
      <c r="FI24" s="13"/>
      <c r="FJ24" s="13"/>
      <c r="FK24" s="13"/>
      <c r="FL24" s="13"/>
      <c r="FM24" s="13"/>
      <c r="FN24" s="13"/>
      <c r="FO24" s="13"/>
      <c r="FP24" s="13"/>
      <c r="FQ24" s="13"/>
      <c r="FR24" s="13"/>
      <c r="FS24" s="13"/>
      <c r="FT24" s="13"/>
      <c r="FU24" s="13"/>
      <c r="FV24" s="13"/>
      <c r="FW24" s="13"/>
      <c r="FX24" s="13"/>
      <c r="FY24" s="13"/>
      <c r="FZ24" s="13"/>
      <c r="GA24" s="13"/>
      <c r="GB24" s="13"/>
      <c r="GC24" s="13"/>
      <c r="GD24" s="13"/>
      <c r="GE24" s="13"/>
      <c r="GF24" s="13"/>
      <c r="GG24" s="13"/>
      <c r="GH24" s="13"/>
      <c r="GI24" s="13"/>
      <c r="GJ24" s="13"/>
      <c r="GK24" s="13"/>
      <c r="GL24" s="13"/>
      <c r="GM24" s="13"/>
      <c r="GN24" s="13"/>
      <c r="GO24" s="13"/>
      <c r="GP24" s="13"/>
      <c r="GQ24" s="13"/>
      <c r="GR24" s="13"/>
      <c r="GS24" s="13"/>
      <c r="GT24" s="13"/>
      <c r="GU24" s="13"/>
      <c r="GV24" s="13"/>
      <c r="GW24" s="13"/>
      <c r="GX24" s="13"/>
      <c r="GY24" s="13"/>
      <c r="GZ24" s="13"/>
      <c r="HA24" s="13"/>
      <c r="HB24" s="13"/>
      <c r="HC24" s="13"/>
      <c r="HD24" s="13"/>
      <c r="HE24" s="13"/>
      <c r="HF24" s="13"/>
      <c r="HG24" s="13"/>
      <c r="HH24" s="13"/>
      <c r="HI24" s="13"/>
      <c r="HJ24" s="13"/>
      <c r="HK24" s="13"/>
      <c r="HL24" s="13"/>
      <c r="HM24" s="13"/>
      <c r="HN24" s="13"/>
      <c r="HO24" s="13"/>
      <c r="HP24" s="13"/>
      <c r="HQ24" s="13"/>
      <c r="HR24" s="13"/>
      <c r="HS24" s="13"/>
      <c r="HT24" s="13"/>
      <c r="HU24" s="13"/>
      <c r="HV24" s="13"/>
      <c r="HW24" s="13"/>
      <c r="HX24" s="13"/>
      <c r="HY24" s="13"/>
      <c r="HZ24" s="13"/>
      <c r="IA24" s="13"/>
      <c r="IB24" s="13"/>
      <c r="IC24" s="13"/>
      <c r="ID24" s="13"/>
      <c r="IE24" s="13"/>
      <c r="IF24" s="13"/>
      <c r="IG24" s="13"/>
      <c r="IH24" s="13"/>
      <c r="II24" s="13"/>
      <c r="IJ24" s="13"/>
      <c r="IK24" s="13"/>
      <c r="IL24" s="13"/>
      <c r="IM24" s="13"/>
      <c r="IN24" s="13"/>
      <c r="IO24" s="13"/>
      <c r="IP24" s="13"/>
      <c r="IQ24" s="13"/>
      <c r="IR24" s="13"/>
    </row>
    <row r="25" spans="1:252" ht="24.75" customHeight="1" thickBot="1" x14ac:dyDescent="0.3">
      <c r="A25" s="6"/>
      <c r="B25" s="223"/>
      <c r="C25" s="540" t="s">
        <v>200</v>
      </c>
      <c r="D25" s="540"/>
      <c r="E25" s="540"/>
      <c r="F25" s="540"/>
      <c r="G25" s="540"/>
      <c r="H25" s="540"/>
      <c r="I25" s="540"/>
      <c r="J25" s="540"/>
      <c r="K25" s="540"/>
      <c r="L25" s="540"/>
      <c r="M25" s="540"/>
      <c r="N25" s="507"/>
      <c r="O25" s="507"/>
      <c r="AF25" s="60"/>
      <c r="AG25" s="60"/>
    </row>
    <row r="26" spans="1:252" ht="18.75" thickBot="1" x14ac:dyDescent="0.3">
      <c r="A26" s="111" t="s">
        <v>49</v>
      </c>
      <c r="B26" s="226"/>
      <c r="C26" s="440" t="s">
        <v>279</v>
      </c>
      <c r="D26" s="179">
        <v>33239.26</v>
      </c>
      <c r="E26" s="179">
        <v>45164.22</v>
      </c>
      <c r="F26" s="179">
        <v>31386.33</v>
      </c>
      <c r="G26" s="179">
        <v>45164.22</v>
      </c>
      <c r="H26" s="179">
        <v>76666.67</v>
      </c>
      <c r="I26" s="179">
        <f>76666.67</f>
        <v>76666.67</v>
      </c>
      <c r="J26" s="179">
        <v>45164.22</v>
      </c>
      <c r="K26" s="179">
        <v>76666.67</v>
      </c>
      <c r="L26" s="179">
        <v>76666.67</v>
      </c>
      <c r="M26" s="179">
        <v>76666.67</v>
      </c>
      <c r="N26" s="179">
        <v>76666.67</v>
      </c>
      <c r="O26" s="179">
        <v>76666.67</v>
      </c>
      <c r="P26" s="137"/>
      <c r="Q26" s="137"/>
      <c r="R26" s="137"/>
      <c r="S26" s="137"/>
      <c r="T26" s="137"/>
      <c r="U26" s="137"/>
      <c r="V26" s="137"/>
      <c r="W26" s="137"/>
      <c r="X26" s="137"/>
      <c r="Y26" s="151"/>
      <c r="Z26" s="2"/>
      <c r="AA26" s="151"/>
      <c r="AB26" s="2"/>
      <c r="AC26" s="2"/>
      <c r="AD26" s="137"/>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row>
    <row r="27" spans="1:252" ht="18.75" thickBot="1" x14ac:dyDescent="0.3">
      <c r="A27" s="114" t="s">
        <v>125</v>
      </c>
      <c r="B27" s="227"/>
      <c r="C27" s="440" t="s">
        <v>280</v>
      </c>
      <c r="D27" s="179">
        <v>42041.46</v>
      </c>
      <c r="E27" s="179">
        <v>36774</v>
      </c>
      <c r="F27" s="179">
        <v>22485.49</v>
      </c>
      <c r="G27" s="179">
        <v>36774</v>
      </c>
      <c r="H27" s="179">
        <f>74666.67+8000</f>
        <v>82666.67</v>
      </c>
      <c r="I27" s="179">
        <f>82666.67</f>
        <v>82666.67</v>
      </c>
      <c r="J27" s="179">
        <v>36774</v>
      </c>
      <c r="K27" s="179">
        <f>74666.67+8000</f>
        <v>82666.67</v>
      </c>
      <c r="L27" s="179">
        <f>74666.67+8000</f>
        <v>82666.67</v>
      </c>
      <c r="M27" s="179">
        <f>74666.67+8000</f>
        <v>82666.67</v>
      </c>
      <c r="N27" s="179">
        <f>74666.67+8000</f>
        <v>82666.67</v>
      </c>
      <c r="O27" s="179">
        <f>74666.67+8000</f>
        <v>82666.67</v>
      </c>
      <c r="P27" s="2"/>
      <c r="Q27" s="2"/>
      <c r="R27" s="396"/>
      <c r="S27" s="396"/>
      <c r="T27" s="396"/>
      <c r="U27" s="396"/>
      <c r="V27" s="396"/>
      <c r="W27" s="396"/>
      <c r="X27" s="396"/>
      <c r="Y27" s="137"/>
      <c r="Z27" s="137"/>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row>
    <row r="28" spans="1:252" ht="18.75" thickBot="1" x14ac:dyDescent="0.3">
      <c r="A28" s="114" t="s">
        <v>125</v>
      </c>
      <c r="B28" s="227"/>
      <c r="C28" s="440" t="s">
        <v>277</v>
      </c>
      <c r="D28" s="179">
        <v>34537.370000000003</v>
      </c>
      <c r="E28" s="179">
        <f t="shared" ref="E28:G28" si="14">73642.12+50000</f>
        <v>123642.12</v>
      </c>
      <c r="F28" s="179">
        <v>36300</v>
      </c>
      <c r="G28" s="179">
        <f t="shared" si="14"/>
        <v>123642.12</v>
      </c>
      <c r="H28" s="179">
        <v>80000</v>
      </c>
      <c r="I28" s="179">
        <f>80000</f>
        <v>80000</v>
      </c>
      <c r="J28" s="179">
        <v>123642.12</v>
      </c>
      <c r="K28" s="179">
        <f t="shared" ref="K28:O28" si="15">80000</f>
        <v>80000</v>
      </c>
      <c r="L28" s="179">
        <f t="shared" si="15"/>
        <v>80000</v>
      </c>
      <c r="M28" s="179">
        <f t="shared" si="15"/>
        <v>80000</v>
      </c>
      <c r="N28" s="179">
        <f t="shared" si="15"/>
        <v>80000</v>
      </c>
      <c r="O28" s="179">
        <f t="shared" si="15"/>
        <v>80000</v>
      </c>
      <c r="P28" s="2"/>
      <c r="Q28" s="2"/>
      <c r="R28" s="396"/>
      <c r="S28" s="396"/>
      <c r="T28" s="396"/>
      <c r="U28" s="396"/>
      <c r="V28" s="396"/>
      <c r="W28" s="396"/>
      <c r="X28" s="396"/>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row>
    <row r="29" spans="1:252" ht="18.75" thickBot="1" x14ac:dyDescent="0.3">
      <c r="A29" s="111" t="s">
        <v>49</v>
      </c>
      <c r="B29" s="226"/>
      <c r="C29" s="440" t="s">
        <v>278</v>
      </c>
      <c r="D29" s="179">
        <v>197010.46</v>
      </c>
      <c r="E29" s="179">
        <f t="shared" ref="E29:G29" si="16">282000.215449192-50000</f>
        <v>232000.21544919198</v>
      </c>
      <c r="F29" s="179">
        <v>137851</v>
      </c>
      <c r="G29" s="179">
        <f t="shared" si="16"/>
        <v>232000.21544919198</v>
      </c>
      <c r="H29" s="179">
        <v>70000</v>
      </c>
      <c r="I29" s="179">
        <f>70000</f>
        <v>70000</v>
      </c>
      <c r="J29" s="179">
        <v>232000.21544919198</v>
      </c>
      <c r="K29" s="179">
        <f t="shared" ref="K29:O29" si="17">70000</f>
        <v>70000</v>
      </c>
      <c r="L29" s="179">
        <f t="shared" si="17"/>
        <v>70000</v>
      </c>
      <c r="M29" s="179">
        <f t="shared" si="17"/>
        <v>70000</v>
      </c>
      <c r="N29" s="179">
        <f t="shared" si="17"/>
        <v>70000</v>
      </c>
      <c r="O29" s="179">
        <f t="shared" si="17"/>
        <v>70000</v>
      </c>
      <c r="P29" s="2"/>
      <c r="Q29" s="2"/>
      <c r="R29" s="396"/>
      <c r="S29" s="396"/>
      <c r="T29" s="396"/>
      <c r="U29" s="396"/>
      <c r="V29" s="396"/>
      <c r="W29" s="396"/>
      <c r="X29" s="396"/>
      <c r="Y29" s="2"/>
      <c r="Z29" s="138"/>
      <c r="AA29" s="2"/>
      <c r="AB29" s="2"/>
      <c r="AC29" s="2"/>
      <c r="AD29" s="2"/>
      <c r="AE29" s="2"/>
      <c r="AF29" s="115"/>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row>
    <row r="30" spans="1:252" ht="18.75" thickBot="1" x14ac:dyDescent="0.3">
      <c r="A30" s="6"/>
      <c r="B30" s="223"/>
      <c r="C30" s="184" t="s">
        <v>215</v>
      </c>
      <c r="D30" s="180">
        <f t="shared" ref="D30:M30" si="18">SUM(D26:D29)</f>
        <v>306828.55</v>
      </c>
      <c r="E30" s="180">
        <f t="shared" ref="E30" si="19">SUM(E26:E29)</f>
        <v>437580.55544919195</v>
      </c>
      <c r="F30" s="180">
        <f t="shared" si="18"/>
        <v>228022.82</v>
      </c>
      <c r="G30" s="180">
        <f t="shared" ref="G30:H30" si="20">SUM(G26:G29)</f>
        <v>437580.55544919195</v>
      </c>
      <c r="H30" s="180">
        <f t="shared" si="20"/>
        <v>309333.33999999997</v>
      </c>
      <c r="I30" s="180">
        <f t="shared" si="18"/>
        <v>309333.33999999997</v>
      </c>
      <c r="J30" s="180">
        <f t="shared" ref="J30:K30" si="21">SUM(J26:J29)</f>
        <v>437580.55544919195</v>
      </c>
      <c r="K30" s="180">
        <f t="shared" si="21"/>
        <v>309333.33999999997</v>
      </c>
      <c r="L30" s="180">
        <f t="shared" ref="L30" si="22">SUM(L26:L29)</f>
        <v>309333.33999999997</v>
      </c>
      <c r="M30" s="180">
        <f t="shared" si="18"/>
        <v>309333.33999999997</v>
      </c>
      <c r="N30" s="180">
        <f t="shared" ref="N30:O30" si="23">SUM(N26:N29)</f>
        <v>309333.33999999997</v>
      </c>
      <c r="O30" s="180">
        <f t="shared" si="23"/>
        <v>309333.33999999997</v>
      </c>
      <c r="P30" s="2"/>
      <c r="Q30" s="2"/>
      <c r="R30" s="396"/>
      <c r="S30" s="396"/>
      <c r="T30" s="396"/>
      <c r="U30" s="396"/>
      <c r="V30" s="396"/>
      <c r="W30" s="396"/>
      <c r="X30" s="396"/>
      <c r="Y30" s="137"/>
      <c r="Z30" s="137"/>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row>
    <row r="31" spans="1:252" ht="22.5" customHeight="1" thickBot="1" x14ac:dyDescent="0.3">
      <c r="A31" s="6"/>
      <c r="B31" s="223"/>
      <c r="C31" s="540" t="s">
        <v>3</v>
      </c>
      <c r="D31" s="540"/>
      <c r="E31" s="540"/>
      <c r="F31" s="540"/>
      <c r="G31" s="540"/>
      <c r="H31" s="540"/>
      <c r="I31" s="540"/>
      <c r="J31" s="540"/>
      <c r="K31" s="540"/>
      <c r="L31" s="540"/>
      <c r="M31" s="540"/>
      <c r="N31" s="507"/>
      <c r="O31" s="507"/>
    </row>
    <row r="32" spans="1:252" ht="18.75" thickBot="1" x14ac:dyDescent="0.3">
      <c r="A32" s="14" t="s">
        <v>0</v>
      </c>
      <c r="B32" s="223"/>
      <c r="C32" s="186" t="s">
        <v>108</v>
      </c>
      <c r="D32" s="178">
        <v>99172</v>
      </c>
      <c r="E32" s="178">
        <v>84522.893307485952</v>
      </c>
      <c r="F32" s="178">
        <v>77705</v>
      </c>
      <c r="G32" s="178">
        <v>84522.893307485952</v>
      </c>
      <c r="H32" s="178">
        <f>84522.893307486</f>
        <v>84522.893307485996</v>
      </c>
      <c r="I32" s="178">
        <f>84522.893307486</f>
        <v>84522.893307485996</v>
      </c>
      <c r="J32" s="178">
        <v>84522.893307485952</v>
      </c>
      <c r="K32" s="178">
        <f>84522.893307486</f>
        <v>84522.893307485996</v>
      </c>
      <c r="L32" s="178">
        <f>84522.893307486</f>
        <v>84522.893307485996</v>
      </c>
      <c r="M32" s="178">
        <v>84522.893307485952</v>
      </c>
      <c r="N32" s="178">
        <v>84522.893307485952</v>
      </c>
      <c r="O32" s="178">
        <v>84522.893307485952</v>
      </c>
      <c r="P32" s="2"/>
      <c r="Q32" s="2"/>
      <c r="R32" s="396"/>
      <c r="S32" s="396"/>
      <c r="T32" s="396"/>
      <c r="U32" s="396"/>
      <c r="V32" s="396"/>
      <c r="W32" s="396"/>
      <c r="X32" s="396"/>
      <c r="Y32" s="137"/>
      <c r="Z32" s="137"/>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row>
    <row r="33" spans="1:252" ht="18.75" thickBot="1" x14ac:dyDescent="0.3">
      <c r="A33" s="10" t="s">
        <v>2</v>
      </c>
      <c r="B33" s="223"/>
      <c r="C33" s="186" t="s">
        <v>196</v>
      </c>
      <c r="D33" s="178">
        <v>0</v>
      </c>
      <c r="E33" s="178">
        <v>93905.470565267999</v>
      </c>
      <c r="F33" s="178">
        <v>2427</v>
      </c>
      <c r="G33" s="178">
        <v>93905.470565267999</v>
      </c>
      <c r="H33" s="178">
        <f>93905.470565268</f>
        <v>93905.470565267999</v>
      </c>
      <c r="I33" s="178">
        <f>93905.470565268</f>
        <v>93905.470565267999</v>
      </c>
      <c r="J33" s="178">
        <v>93905.470565267999</v>
      </c>
      <c r="K33" s="178">
        <f>93905.470565268</f>
        <v>93905.470565267999</v>
      </c>
      <c r="L33" s="178">
        <f>93905.470565268</f>
        <v>93905.470565267999</v>
      </c>
      <c r="M33" s="178">
        <v>93905.470565267999</v>
      </c>
      <c r="N33" s="178">
        <v>93905.470565267999</v>
      </c>
      <c r="O33" s="178">
        <v>93905.470565267999</v>
      </c>
      <c r="P33" s="2"/>
      <c r="Q33" s="2"/>
      <c r="R33" s="396"/>
      <c r="S33" s="396"/>
      <c r="T33" s="396"/>
      <c r="U33" s="396"/>
      <c r="V33" s="396"/>
      <c r="W33" s="396"/>
      <c r="X33" s="396"/>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row>
    <row r="34" spans="1:252" ht="18.75" thickBot="1" x14ac:dyDescent="0.3">
      <c r="A34" s="6" t="s">
        <v>4</v>
      </c>
      <c r="B34" s="223"/>
      <c r="C34" s="186" t="s">
        <v>120</v>
      </c>
      <c r="D34" s="178">
        <v>15680</v>
      </c>
      <c r="E34" s="178">
        <v>50000.100660389304</v>
      </c>
      <c r="F34" s="178">
        <v>4795</v>
      </c>
      <c r="G34" s="178">
        <v>50000.100660389304</v>
      </c>
      <c r="H34" s="178">
        <f>50000.1006603893</f>
        <v>50000.100660389297</v>
      </c>
      <c r="I34" s="178">
        <f>50000.1006603893</f>
        <v>50000.100660389297</v>
      </c>
      <c r="J34" s="178">
        <v>50000.100660389304</v>
      </c>
      <c r="K34" s="178">
        <f>50000.1006603893</f>
        <v>50000.100660389297</v>
      </c>
      <c r="L34" s="178">
        <f>50000.1006603893</f>
        <v>50000.100660389297</v>
      </c>
      <c r="M34" s="178">
        <v>50000.100660389304</v>
      </c>
      <c r="N34" s="178">
        <v>50000.100660389304</v>
      </c>
      <c r="O34" s="178">
        <v>50000.100660389304</v>
      </c>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c r="AX34" s="13"/>
      <c r="AY34" s="13"/>
      <c r="AZ34" s="13"/>
      <c r="BA34" s="13"/>
      <c r="BB34" s="13"/>
      <c r="BC34" s="13"/>
      <c r="BD34" s="13"/>
      <c r="BE34" s="13"/>
      <c r="BF34" s="13"/>
      <c r="BG34" s="13"/>
      <c r="BH34" s="13"/>
      <c r="BI34" s="13"/>
      <c r="BJ34" s="13"/>
      <c r="BK34" s="13"/>
      <c r="BL34" s="13"/>
      <c r="BM34" s="13"/>
      <c r="BN34" s="13"/>
      <c r="BO34" s="13"/>
      <c r="BP34" s="13"/>
      <c r="BQ34" s="13"/>
      <c r="BR34" s="13"/>
      <c r="BS34" s="13"/>
      <c r="BT34" s="13"/>
      <c r="BU34" s="13"/>
      <c r="BV34" s="13"/>
      <c r="BW34" s="13"/>
      <c r="BX34" s="13"/>
      <c r="BY34" s="13"/>
      <c r="BZ34" s="13"/>
      <c r="CA34" s="13"/>
      <c r="CB34" s="13"/>
      <c r="CC34" s="13"/>
      <c r="CD34" s="13"/>
      <c r="CE34" s="13"/>
      <c r="CF34" s="13"/>
      <c r="CG34" s="13"/>
      <c r="CH34" s="13"/>
      <c r="CI34" s="13"/>
      <c r="CJ34" s="13"/>
      <c r="CK34" s="13"/>
      <c r="CL34" s="13"/>
      <c r="CM34" s="13"/>
      <c r="CN34" s="13"/>
      <c r="CO34" s="13"/>
      <c r="CP34" s="13"/>
      <c r="CQ34" s="13"/>
      <c r="CR34" s="13"/>
      <c r="CS34" s="13"/>
      <c r="CT34" s="13"/>
      <c r="CU34" s="13"/>
      <c r="CV34" s="13"/>
      <c r="CW34" s="13"/>
      <c r="CX34" s="13"/>
      <c r="CY34" s="13"/>
      <c r="CZ34" s="13"/>
      <c r="DA34" s="13"/>
      <c r="DB34" s="13"/>
      <c r="DC34" s="13"/>
      <c r="DD34" s="13"/>
      <c r="DE34" s="13"/>
      <c r="DF34" s="13"/>
      <c r="DG34" s="13"/>
      <c r="DH34" s="13"/>
      <c r="DI34" s="13"/>
      <c r="DJ34" s="13"/>
      <c r="DK34" s="13"/>
      <c r="DL34" s="13"/>
      <c r="DM34" s="13"/>
      <c r="DN34" s="13"/>
      <c r="DO34" s="13"/>
      <c r="DP34" s="13"/>
      <c r="DQ34" s="13"/>
      <c r="DR34" s="13"/>
      <c r="DS34" s="13"/>
      <c r="DT34" s="13"/>
      <c r="DU34" s="13"/>
      <c r="DV34" s="13"/>
      <c r="DW34" s="13"/>
      <c r="DX34" s="13"/>
      <c r="DY34" s="13"/>
      <c r="DZ34" s="13"/>
      <c r="EA34" s="13"/>
      <c r="EB34" s="13"/>
      <c r="EC34" s="13"/>
      <c r="ED34" s="13"/>
      <c r="EE34" s="13"/>
      <c r="EF34" s="13"/>
      <c r="EG34" s="13"/>
      <c r="EH34" s="13"/>
      <c r="EI34" s="13"/>
      <c r="EJ34" s="13"/>
      <c r="EK34" s="13"/>
      <c r="EL34" s="13"/>
      <c r="EM34" s="13"/>
      <c r="EN34" s="13"/>
      <c r="EO34" s="13"/>
      <c r="EP34" s="13"/>
      <c r="EQ34" s="13"/>
      <c r="ER34" s="13"/>
      <c r="ES34" s="13"/>
      <c r="ET34" s="13"/>
      <c r="EU34" s="13"/>
      <c r="EV34" s="13"/>
      <c r="EW34" s="13"/>
      <c r="EX34" s="13"/>
      <c r="EY34" s="13"/>
      <c r="EZ34" s="13"/>
      <c r="FA34" s="13"/>
      <c r="FB34" s="13"/>
      <c r="FC34" s="13"/>
      <c r="FD34" s="13"/>
      <c r="FE34" s="13"/>
      <c r="FF34" s="13"/>
      <c r="FG34" s="13"/>
      <c r="FH34" s="13"/>
      <c r="FI34" s="13"/>
      <c r="FJ34" s="13"/>
      <c r="FK34" s="13"/>
      <c r="FL34" s="13"/>
      <c r="FM34" s="13"/>
      <c r="FN34" s="13"/>
      <c r="FO34" s="13"/>
      <c r="FP34" s="13"/>
      <c r="FQ34" s="13"/>
      <c r="FR34" s="13"/>
      <c r="FS34" s="13"/>
      <c r="FT34" s="13"/>
      <c r="FU34" s="13"/>
      <c r="FV34" s="13"/>
      <c r="FW34" s="13"/>
      <c r="FX34" s="13"/>
      <c r="FY34" s="13"/>
      <c r="FZ34" s="13"/>
      <c r="GA34" s="13"/>
      <c r="GB34" s="13"/>
      <c r="GC34" s="13"/>
      <c r="GD34" s="13"/>
      <c r="GE34" s="13"/>
      <c r="GF34" s="13"/>
      <c r="GG34" s="13"/>
      <c r="GH34" s="13"/>
      <c r="GI34" s="13"/>
      <c r="GJ34" s="13"/>
      <c r="GK34" s="13"/>
      <c r="GL34" s="13"/>
      <c r="GM34" s="13"/>
      <c r="GN34" s="13"/>
      <c r="GO34" s="13"/>
      <c r="GP34" s="13"/>
      <c r="GQ34" s="13"/>
      <c r="GR34" s="13"/>
      <c r="GS34" s="13"/>
      <c r="GT34" s="13"/>
      <c r="GU34" s="13"/>
      <c r="GV34" s="13"/>
      <c r="GW34" s="13"/>
      <c r="GX34" s="13"/>
      <c r="GY34" s="13"/>
      <c r="GZ34" s="13"/>
      <c r="HA34" s="13"/>
      <c r="HB34" s="13"/>
      <c r="HC34" s="13"/>
      <c r="HD34" s="13"/>
      <c r="HE34" s="13"/>
      <c r="HF34" s="13"/>
      <c r="HG34" s="13"/>
      <c r="HH34" s="13"/>
      <c r="HI34" s="13"/>
      <c r="HJ34" s="13"/>
      <c r="HK34" s="13"/>
      <c r="HL34" s="13"/>
      <c r="HM34" s="13"/>
      <c r="HN34" s="13"/>
      <c r="HO34" s="13"/>
      <c r="HP34" s="13"/>
      <c r="HQ34" s="13"/>
      <c r="HR34" s="13"/>
      <c r="HS34" s="13"/>
      <c r="HT34" s="13"/>
      <c r="HU34" s="13"/>
      <c r="HV34" s="13"/>
      <c r="HW34" s="13"/>
      <c r="HX34" s="13"/>
      <c r="HY34" s="13"/>
      <c r="HZ34" s="13"/>
      <c r="IA34" s="13"/>
      <c r="IB34" s="13"/>
      <c r="IC34" s="13"/>
      <c r="ID34" s="13"/>
      <c r="IE34" s="13"/>
      <c r="IF34" s="13"/>
      <c r="IG34" s="13"/>
      <c r="IH34" s="13"/>
      <c r="II34" s="13"/>
      <c r="IJ34" s="13"/>
      <c r="IK34" s="13"/>
      <c r="IL34" s="13"/>
      <c r="IM34" s="13"/>
      <c r="IN34" s="13"/>
      <c r="IO34" s="13"/>
      <c r="IP34" s="13"/>
      <c r="IQ34" s="13"/>
      <c r="IR34" s="13"/>
    </row>
    <row r="35" spans="1:252" ht="18.75" thickBot="1" x14ac:dyDescent="0.3">
      <c r="A35" s="12"/>
      <c r="B35" s="225"/>
      <c r="C35" s="184" t="s">
        <v>226</v>
      </c>
      <c r="D35" s="180">
        <f t="shared" ref="D35:M35" si="24">SUM(D32:D34)</f>
        <v>114852</v>
      </c>
      <c r="E35" s="180">
        <f t="shared" ref="E35" si="25">SUM(E32:E34)</f>
        <v>228428.46453314327</v>
      </c>
      <c r="F35" s="180">
        <f t="shared" si="24"/>
        <v>84927</v>
      </c>
      <c r="G35" s="180">
        <f t="shared" ref="G35:H35" si="26">SUM(G32:G34)</f>
        <v>228428.46453314327</v>
      </c>
      <c r="H35" s="180">
        <f t="shared" si="26"/>
        <v>228428.46453314327</v>
      </c>
      <c r="I35" s="180">
        <f t="shared" si="24"/>
        <v>228428.46453314327</v>
      </c>
      <c r="J35" s="180">
        <f t="shared" ref="J35:K35" si="27">SUM(J32:J34)</f>
        <v>228428.46453314327</v>
      </c>
      <c r="K35" s="180">
        <f t="shared" si="27"/>
        <v>228428.46453314327</v>
      </c>
      <c r="L35" s="180">
        <f t="shared" ref="L35" si="28">SUM(L32:L34)</f>
        <v>228428.46453314327</v>
      </c>
      <c r="M35" s="180">
        <f t="shared" si="24"/>
        <v>228428.46453314327</v>
      </c>
      <c r="N35" s="180">
        <f t="shared" ref="N35:O35" si="29">SUM(N32:N34)</f>
        <v>228428.46453314327</v>
      </c>
      <c r="O35" s="180">
        <f t="shared" si="29"/>
        <v>228428.46453314327</v>
      </c>
      <c r="P35" s="146"/>
      <c r="Q35" s="139"/>
      <c r="R35" s="139"/>
      <c r="S35" s="139"/>
      <c r="T35" s="139"/>
      <c r="U35" s="139"/>
      <c r="V35" s="139"/>
      <c r="W35" s="139"/>
      <c r="X35" s="139"/>
      <c r="Y35" s="139"/>
      <c r="Z35" s="139"/>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3"/>
      <c r="AZ35" s="13"/>
      <c r="BA35" s="13"/>
      <c r="BB35" s="13"/>
      <c r="BC35" s="13"/>
      <c r="BD35" s="13"/>
      <c r="BE35" s="13"/>
      <c r="BF35" s="13"/>
      <c r="BG35" s="13"/>
      <c r="BH35" s="13"/>
      <c r="BI35" s="13"/>
      <c r="BJ35" s="13"/>
      <c r="BK35" s="13"/>
      <c r="BL35" s="13"/>
      <c r="BM35" s="13"/>
      <c r="BN35" s="13"/>
      <c r="BO35" s="13"/>
      <c r="BP35" s="13"/>
      <c r="BQ35" s="13"/>
      <c r="BR35" s="13"/>
      <c r="BS35" s="13"/>
      <c r="BT35" s="13"/>
      <c r="BU35" s="13"/>
      <c r="BV35" s="13"/>
      <c r="BW35" s="13"/>
      <c r="BX35" s="13"/>
      <c r="BY35" s="13"/>
      <c r="BZ35" s="13"/>
      <c r="CA35" s="13"/>
      <c r="CB35" s="13"/>
      <c r="CC35" s="13"/>
      <c r="CD35" s="13"/>
      <c r="CE35" s="13"/>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13"/>
      <c r="DF35" s="13"/>
      <c r="DG35" s="13"/>
      <c r="DH35" s="13"/>
      <c r="DI35" s="13"/>
      <c r="DJ35" s="13"/>
      <c r="DK35" s="13"/>
      <c r="DL35" s="13"/>
      <c r="DM35" s="13"/>
      <c r="DN35" s="13"/>
      <c r="DO35" s="13"/>
      <c r="DP35" s="13"/>
      <c r="DQ35" s="13"/>
      <c r="DR35" s="13"/>
      <c r="DS35" s="13"/>
      <c r="DT35" s="13"/>
      <c r="DU35" s="13"/>
      <c r="DV35" s="13"/>
      <c r="DW35" s="13"/>
      <c r="DX35" s="13"/>
      <c r="DY35" s="13"/>
      <c r="DZ35" s="13"/>
      <c r="EA35" s="13"/>
      <c r="EB35" s="13"/>
      <c r="EC35" s="13"/>
      <c r="ED35" s="13"/>
      <c r="EE35" s="13"/>
      <c r="EF35" s="13"/>
      <c r="EG35" s="13"/>
      <c r="EH35" s="13"/>
      <c r="EI35" s="13"/>
      <c r="EJ35" s="13"/>
      <c r="EK35" s="13"/>
      <c r="EL35" s="13"/>
      <c r="EM35" s="13"/>
      <c r="EN35" s="13"/>
      <c r="EO35" s="13"/>
      <c r="EP35" s="13"/>
      <c r="EQ35" s="13"/>
      <c r="ER35" s="13"/>
      <c r="ES35" s="13"/>
      <c r="ET35" s="13"/>
      <c r="EU35" s="13"/>
      <c r="EV35" s="13"/>
      <c r="EW35" s="13"/>
      <c r="EX35" s="13"/>
      <c r="EY35" s="13"/>
      <c r="EZ35" s="13"/>
      <c r="FA35" s="13"/>
      <c r="FB35" s="13"/>
      <c r="FC35" s="13"/>
      <c r="FD35" s="13"/>
      <c r="FE35" s="13"/>
      <c r="FF35" s="13"/>
      <c r="FG35" s="13"/>
      <c r="FH35" s="13"/>
      <c r="FI35" s="13"/>
      <c r="FJ35" s="13"/>
      <c r="FK35" s="13"/>
      <c r="FL35" s="13"/>
      <c r="FM35" s="13"/>
      <c r="FN35" s="13"/>
      <c r="FO35" s="13"/>
      <c r="FP35" s="13"/>
      <c r="FQ35" s="13"/>
      <c r="FR35" s="13"/>
      <c r="FS35" s="13"/>
      <c r="FT35" s="13"/>
      <c r="FU35" s="13"/>
      <c r="FV35" s="13"/>
      <c r="FW35" s="13"/>
      <c r="FX35" s="13"/>
      <c r="FY35" s="13"/>
      <c r="FZ35" s="13"/>
      <c r="GA35" s="13"/>
      <c r="GB35" s="13"/>
      <c r="GC35" s="13"/>
      <c r="GD35" s="13"/>
      <c r="GE35" s="13"/>
      <c r="GF35" s="13"/>
      <c r="GG35" s="13"/>
      <c r="GH35" s="13"/>
      <c r="GI35" s="13"/>
      <c r="GJ35" s="13"/>
      <c r="GK35" s="13"/>
      <c r="GL35" s="13"/>
      <c r="GM35" s="13"/>
      <c r="GN35" s="13"/>
      <c r="GO35" s="13"/>
      <c r="GP35" s="13"/>
      <c r="GQ35" s="13"/>
      <c r="GR35" s="13"/>
      <c r="GS35" s="13"/>
      <c r="GT35" s="13"/>
      <c r="GU35" s="13"/>
      <c r="GV35" s="13"/>
      <c r="GW35" s="13"/>
      <c r="GX35" s="13"/>
      <c r="GY35" s="13"/>
      <c r="GZ35" s="13"/>
      <c r="HA35" s="13"/>
      <c r="HB35" s="13"/>
      <c r="HC35" s="13"/>
      <c r="HD35" s="13"/>
      <c r="HE35" s="13"/>
      <c r="HF35" s="13"/>
      <c r="HG35" s="13"/>
      <c r="HH35" s="13"/>
      <c r="HI35" s="13"/>
      <c r="HJ35" s="13"/>
      <c r="HK35" s="13"/>
      <c r="HL35" s="13"/>
      <c r="HM35" s="13"/>
      <c r="HN35" s="13"/>
      <c r="HO35" s="13"/>
      <c r="HP35" s="13"/>
      <c r="HQ35" s="13"/>
      <c r="HR35" s="13"/>
      <c r="HS35" s="13"/>
      <c r="HT35" s="13"/>
      <c r="HU35" s="13"/>
      <c r="HV35" s="13"/>
      <c r="HW35" s="13"/>
      <c r="HX35" s="13"/>
      <c r="HY35" s="13"/>
      <c r="HZ35" s="13"/>
      <c r="IA35" s="13"/>
      <c r="IB35" s="13"/>
      <c r="IC35" s="13"/>
      <c r="ID35" s="13"/>
      <c r="IE35" s="13"/>
      <c r="IF35" s="13"/>
      <c r="IG35" s="13"/>
      <c r="IH35" s="13"/>
      <c r="II35" s="13"/>
      <c r="IJ35" s="13"/>
      <c r="IK35" s="13"/>
      <c r="IL35" s="13"/>
      <c r="IM35" s="13"/>
      <c r="IN35" s="13"/>
      <c r="IO35" s="13"/>
      <c r="IP35" s="13"/>
      <c r="IQ35" s="13"/>
      <c r="IR35" s="13"/>
    </row>
    <row r="36" spans="1:252" ht="23.25" customHeight="1" thickBot="1" x14ac:dyDescent="0.3">
      <c r="A36" s="8"/>
      <c r="B36" s="223"/>
      <c r="C36" s="540" t="s">
        <v>12</v>
      </c>
      <c r="D36" s="540"/>
      <c r="E36" s="540"/>
      <c r="F36" s="540"/>
      <c r="G36" s="540"/>
      <c r="H36" s="540"/>
      <c r="I36" s="540"/>
      <c r="J36" s="540"/>
      <c r="K36" s="540"/>
      <c r="L36" s="540"/>
      <c r="M36" s="540"/>
      <c r="N36" s="507"/>
      <c r="O36" s="507"/>
      <c r="P36" s="11"/>
      <c r="Q36" s="37"/>
      <c r="R36" s="37"/>
      <c r="S36" s="37"/>
      <c r="T36" s="37"/>
      <c r="U36" s="37"/>
      <c r="V36" s="37"/>
      <c r="W36" s="37"/>
      <c r="X36" s="37"/>
      <c r="Y36" s="37"/>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c r="BN36" s="11"/>
      <c r="BO36" s="11"/>
      <c r="BP36" s="11"/>
      <c r="BQ36" s="11"/>
      <c r="BR36" s="11"/>
      <c r="BS36" s="11"/>
      <c r="BT36" s="11"/>
      <c r="BU36" s="11"/>
      <c r="BV36" s="11"/>
      <c r="BW36" s="11"/>
      <c r="BX36" s="11"/>
      <c r="BY36" s="11"/>
      <c r="BZ36" s="11"/>
      <c r="CA36" s="11"/>
      <c r="CB36" s="11"/>
      <c r="CC36" s="11"/>
      <c r="CD36" s="11"/>
      <c r="CE36" s="11"/>
      <c r="CF36" s="11"/>
      <c r="CG36" s="11"/>
      <c r="CH36" s="11"/>
      <c r="CI36" s="11"/>
      <c r="CJ36" s="11"/>
      <c r="CK36" s="11"/>
      <c r="CL36" s="11"/>
      <c r="CM36" s="11"/>
      <c r="CN36" s="11"/>
      <c r="CO36" s="11"/>
      <c r="CP36" s="11"/>
      <c r="CQ36" s="11"/>
      <c r="CR36" s="11"/>
      <c r="CS36" s="11"/>
      <c r="CT36" s="11"/>
      <c r="CU36" s="11"/>
      <c r="CV36" s="11"/>
      <c r="CW36" s="11"/>
      <c r="CX36" s="11"/>
      <c r="CY36" s="11"/>
      <c r="CZ36" s="11"/>
      <c r="DA36" s="11"/>
      <c r="DB36" s="11"/>
      <c r="DC36" s="11"/>
      <c r="DD36" s="11"/>
      <c r="DE36" s="11"/>
      <c r="DF36" s="11"/>
      <c r="DG36" s="11"/>
      <c r="DH36" s="11"/>
      <c r="DI36" s="11"/>
      <c r="DJ36" s="11"/>
      <c r="DK36" s="11"/>
      <c r="DL36" s="11"/>
      <c r="DM36" s="11"/>
      <c r="DN36" s="11"/>
      <c r="DO36" s="11"/>
      <c r="DP36" s="11"/>
      <c r="DQ36" s="11"/>
      <c r="DR36" s="11"/>
      <c r="DS36" s="11"/>
      <c r="DT36" s="11"/>
      <c r="DU36" s="11"/>
      <c r="DV36" s="11"/>
      <c r="DW36" s="11"/>
      <c r="DX36" s="11"/>
      <c r="DY36" s="11"/>
      <c r="DZ36" s="11"/>
      <c r="EA36" s="11"/>
      <c r="EB36" s="11"/>
      <c r="EC36" s="11"/>
      <c r="ED36" s="11"/>
      <c r="EE36" s="11"/>
      <c r="EF36" s="11"/>
      <c r="EG36" s="11"/>
      <c r="EH36" s="11"/>
      <c r="EI36" s="11"/>
      <c r="EJ36" s="11"/>
      <c r="EK36" s="11"/>
      <c r="EL36" s="11"/>
      <c r="EM36" s="11"/>
      <c r="EN36" s="11"/>
      <c r="EO36" s="11"/>
      <c r="EP36" s="11"/>
      <c r="EQ36" s="11"/>
      <c r="ER36" s="11"/>
      <c r="ES36" s="11"/>
      <c r="ET36" s="11"/>
      <c r="EU36" s="11"/>
      <c r="EV36" s="11"/>
      <c r="EW36" s="11"/>
      <c r="EX36" s="11"/>
      <c r="EY36" s="11"/>
      <c r="EZ36" s="11"/>
      <c r="FA36" s="11"/>
      <c r="FB36" s="11"/>
      <c r="FC36" s="11"/>
      <c r="FD36" s="11"/>
      <c r="FE36" s="11"/>
      <c r="FF36" s="11"/>
      <c r="FG36" s="11"/>
      <c r="FH36" s="11"/>
      <c r="FI36" s="11"/>
      <c r="FJ36" s="11"/>
      <c r="FK36" s="11"/>
      <c r="FL36" s="11"/>
      <c r="FM36" s="11"/>
      <c r="FN36" s="11"/>
      <c r="FO36" s="11"/>
      <c r="FP36" s="11"/>
      <c r="FQ36" s="11"/>
      <c r="FR36" s="11"/>
      <c r="FS36" s="11"/>
      <c r="FT36" s="11"/>
      <c r="FU36" s="11"/>
      <c r="FV36" s="11"/>
      <c r="FW36" s="11"/>
      <c r="FX36" s="11"/>
      <c r="FY36" s="11"/>
      <c r="FZ36" s="11"/>
      <c r="GA36" s="11"/>
      <c r="GB36" s="11"/>
      <c r="GC36" s="11"/>
      <c r="GD36" s="11"/>
      <c r="GE36" s="11"/>
      <c r="GF36" s="11"/>
      <c r="GG36" s="11"/>
      <c r="GH36" s="11"/>
      <c r="GI36" s="11"/>
      <c r="GJ36" s="11"/>
      <c r="GK36" s="11"/>
      <c r="GL36" s="11"/>
      <c r="GM36" s="11"/>
      <c r="GN36" s="11"/>
      <c r="GO36" s="11"/>
      <c r="GP36" s="11"/>
      <c r="GQ36" s="11"/>
      <c r="GR36" s="11"/>
      <c r="GS36" s="11"/>
      <c r="GT36" s="11"/>
      <c r="GU36" s="11"/>
      <c r="GV36" s="11"/>
      <c r="GW36" s="11"/>
      <c r="GX36" s="11"/>
      <c r="GY36" s="11"/>
      <c r="GZ36" s="11"/>
      <c r="HA36" s="11"/>
      <c r="HB36" s="11"/>
      <c r="HC36" s="11"/>
      <c r="HD36" s="11"/>
      <c r="HE36" s="11"/>
      <c r="HF36" s="11"/>
      <c r="HG36" s="11"/>
      <c r="HH36" s="11"/>
      <c r="HI36" s="11"/>
      <c r="HJ36" s="11"/>
      <c r="HK36" s="11"/>
      <c r="HL36" s="11"/>
      <c r="HM36" s="11"/>
      <c r="HN36" s="11"/>
      <c r="HO36" s="11"/>
      <c r="HP36" s="11"/>
      <c r="HQ36" s="11"/>
      <c r="HR36" s="11"/>
      <c r="HS36" s="11"/>
      <c r="HT36" s="11"/>
      <c r="HU36" s="11"/>
      <c r="HV36" s="11"/>
      <c r="HW36" s="11"/>
      <c r="HX36" s="11"/>
      <c r="HY36" s="11"/>
      <c r="HZ36" s="11"/>
      <c r="IA36" s="11"/>
      <c r="IB36" s="11"/>
      <c r="IC36" s="11"/>
      <c r="ID36" s="11"/>
      <c r="IE36" s="11"/>
      <c r="IF36" s="11"/>
      <c r="IG36" s="11"/>
      <c r="IH36" s="11"/>
      <c r="II36" s="11"/>
      <c r="IJ36" s="11"/>
      <c r="IK36" s="11"/>
      <c r="IL36" s="11"/>
      <c r="IM36" s="11"/>
      <c r="IN36" s="11"/>
      <c r="IO36" s="11"/>
      <c r="IP36" s="11"/>
      <c r="IQ36" s="11"/>
      <c r="IR36" s="11"/>
    </row>
    <row r="37" spans="1:252" ht="18.75" thickBot="1" x14ac:dyDescent="0.3">
      <c r="A37" s="6" t="s">
        <v>4</v>
      </c>
      <c r="B37" s="223"/>
      <c r="C37" s="181" t="s">
        <v>13</v>
      </c>
      <c r="D37" s="179">
        <v>121815</v>
      </c>
      <c r="E37" s="178">
        <v>150932.81669718699</v>
      </c>
      <c r="F37" s="178">
        <v>81568</v>
      </c>
      <c r="G37" s="178">
        <v>150932.81669718699</v>
      </c>
      <c r="H37" s="178">
        <f>150932.816697187</f>
        <v>150932.81669718699</v>
      </c>
      <c r="I37" s="178">
        <f>150932.816697187</f>
        <v>150932.81669718699</v>
      </c>
      <c r="J37" s="178">
        <v>150932.81669718699</v>
      </c>
      <c r="K37" s="178">
        <f>150932.816697187</f>
        <v>150932.81669718699</v>
      </c>
      <c r="L37" s="178">
        <f>150932.816697187</f>
        <v>150932.81669718699</v>
      </c>
      <c r="M37" s="178">
        <v>150932.81669718699</v>
      </c>
      <c r="N37" s="178">
        <v>150932.81669718699</v>
      </c>
      <c r="O37" s="178">
        <v>150932.81669718699</v>
      </c>
      <c r="P37" s="13"/>
      <c r="Q37" s="12"/>
      <c r="R37" s="12"/>
      <c r="S37" s="12"/>
      <c r="T37" s="12"/>
      <c r="U37" s="12"/>
      <c r="V37" s="12"/>
      <c r="W37" s="12"/>
      <c r="X37" s="12"/>
      <c r="Y37" s="12"/>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AY37" s="13"/>
      <c r="AZ37" s="13"/>
      <c r="BA37" s="13"/>
      <c r="BB37" s="13"/>
      <c r="BC37" s="13"/>
      <c r="BD37" s="13"/>
      <c r="BE37" s="13"/>
      <c r="BF37" s="13"/>
      <c r="BG37" s="13"/>
      <c r="BH37" s="13"/>
      <c r="BI37" s="13"/>
      <c r="BJ37" s="13"/>
      <c r="BK37" s="13"/>
      <c r="BL37" s="13"/>
      <c r="BM37" s="13"/>
      <c r="BN37" s="13"/>
      <c r="BO37" s="13"/>
      <c r="BP37" s="13"/>
      <c r="BQ37" s="13"/>
      <c r="BR37" s="13"/>
      <c r="BS37" s="13"/>
      <c r="BT37" s="13"/>
      <c r="BU37" s="13"/>
      <c r="BV37" s="13"/>
      <c r="BW37" s="13"/>
      <c r="BX37" s="13"/>
      <c r="BY37" s="13"/>
      <c r="BZ37" s="13"/>
      <c r="CA37" s="13"/>
      <c r="CB37" s="13"/>
      <c r="CC37" s="13"/>
      <c r="CD37" s="13"/>
      <c r="CE37" s="13"/>
      <c r="CF37" s="13"/>
      <c r="CG37" s="13"/>
      <c r="CH37" s="13"/>
      <c r="CI37" s="13"/>
      <c r="CJ37" s="13"/>
      <c r="CK37" s="13"/>
      <c r="CL37" s="13"/>
      <c r="CM37" s="13"/>
      <c r="CN37" s="13"/>
      <c r="CO37" s="13"/>
      <c r="CP37" s="13"/>
      <c r="CQ37" s="13"/>
      <c r="CR37" s="13"/>
      <c r="CS37" s="13"/>
      <c r="CT37" s="13"/>
      <c r="CU37" s="13"/>
      <c r="CV37" s="13"/>
      <c r="CW37" s="13"/>
      <c r="CX37" s="13"/>
      <c r="CY37" s="13"/>
      <c r="CZ37" s="13"/>
      <c r="DA37" s="13"/>
      <c r="DB37" s="13"/>
      <c r="DC37" s="13"/>
      <c r="DD37" s="13"/>
      <c r="DE37" s="13"/>
      <c r="DF37" s="13"/>
      <c r="DG37" s="13"/>
      <c r="DH37" s="13"/>
      <c r="DI37" s="13"/>
      <c r="DJ37" s="13"/>
      <c r="DK37" s="13"/>
      <c r="DL37" s="13"/>
      <c r="DM37" s="13"/>
      <c r="DN37" s="13"/>
      <c r="DO37" s="13"/>
      <c r="DP37" s="13"/>
      <c r="DQ37" s="13"/>
      <c r="DR37" s="13"/>
      <c r="DS37" s="13"/>
      <c r="DT37" s="13"/>
      <c r="DU37" s="13"/>
      <c r="DV37" s="13"/>
      <c r="DW37" s="13"/>
      <c r="DX37" s="13"/>
      <c r="DY37" s="13"/>
      <c r="DZ37" s="13"/>
      <c r="EA37" s="13"/>
      <c r="EB37" s="13"/>
      <c r="EC37" s="13"/>
      <c r="ED37" s="13"/>
      <c r="EE37" s="13"/>
      <c r="EF37" s="13"/>
      <c r="EG37" s="13"/>
      <c r="EH37" s="13"/>
      <c r="EI37" s="13"/>
      <c r="EJ37" s="13"/>
      <c r="EK37" s="13"/>
      <c r="EL37" s="13"/>
      <c r="EM37" s="13"/>
      <c r="EN37" s="13"/>
      <c r="EO37" s="13"/>
      <c r="EP37" s="13"/>
      <c r="EQ37" s="13"/>
      <c r="ER37" s="13"/>
      <c r="ES37" s="13"/>
      <c r="ET37" s="13"/>
      <c r="EU37" s="13"/>
      <c r="EV37" s="13"/>
      <c r="EW37" s="13"/>
      <c r="EX37" s="13"/>
      <c r="EY37" s="13"/>
      <c r="EZ37" s="13"/>
      <c r="FA37" s="13"/>
      <c r="FB37" s="13"/>
      <c r="FC37" s="13"/>
      <c r="FD37" s="13"/>
      <c r="FE37" s="13"/>
      <c r="FF37" s="13"/>
      <c r="FG37" s="13"/>
      <c r="FH37" s="13"/>
      <c r="FI37" s="13"/>
      <c r="FJ37" s="13"/>
      <c r="FK37" s="13"/>
      <c r="FL37" s="13"/>
      <c r="FM37" s="13"/>
      <c r="FN37" s="13"/>
      <c r="FO37" s="13"/>
      <c r="FP37" s="13"/>
      <c r="FQ37" s="13"/>
      <c r="FR37" s="13"/>
      <c r="FS37" s="13"/>
      <c r="FT37" s="13"/>
      <c r="FU37" s="13"/>
      <c r="FV37" s="13"/>
      <c r="FW37" s="13"/>
      <c r="FX37" s="13"/>
      <c r="FY37" s="13"/>
      <c r="FZ37" s="13"/>
      <c r="GA37" s="13"/>
      <c r="GB37" s="13"/>
      <c r="GC37" s="13"/>
      <c r="GD37" s="13"/>
      <c r="GE37" s="13"/>
      <c r="GF37" s="13"/>
      <c r="GG37" s="13"/>
      <c r="GH37" s="13"/>
      <c r="GI37" s="13"/>
      <c r="GJ37" s="13"/>
      <c r="GK37" s="13"/>
      <c r="GL37" s="13"/>
      <c r="GM37" s="13"/>
      <c r="GN37" s="13"/>
      <c r="GO37" s="13"/>
      <c r="GP37" s="13"/>
      <c r="GQ37" s="13"/>
      <c r="GR37" s="13"/>
      <c r="GS37" s="13"/>
      <c r="GT37" s="13"/>
      <c r="GU37" s="13"/>
      <c r="GV37" s="13"/>
      <c r="GW37" s="13"/>
      <c r="GX37" s="13"/>
      <c r="GY37" s="13"/>
      <c r="GZ37" s="13"/>
      <c r="HA37" s="13"/>
      <c r="HB37" s="13"/>
      <c r="HC37" s="13"/>
      <c r="HD37" s="13"/>
      <c r="HE37" s="13"/>
      <c r="HF37" s="13"/>
      <c r="HG37" s="13"/>
      <c r="HH37" s="13"/>
      <c r="HI37" s="13"/>
      <c r="HJ37" s="13"/>
      <c r="HK37" s="13"/>
      <c r="HL37" s="13"/>
      <c r="HM37" s="13"/>
      <c r="HN37" s="13"/>
      <c r="HO37" s="13"/>
      <c r="HP37" s="13"/>
      <c r="HQ37" s="13"/>
      <c r="HR37" s="13"/>
      <c r="HS37" s="13"/>
      <c r="HT37" s="13"/>
      <c r="HU37" s="13"/>
      <c r="HV37" s="13"/>
      <c r="HW37" s="13"/>
      <c r="HX37" s="13"/>
      <c r="HY37" s="13"/>
      <c r="HZ37" s="13"/>
      <c r="IA37" s="13"/>
      <c r="IB37" s="13"/>
      <c r="IC37" s="13"/>
      <c r="ID37" s="13"/>
      <c r="IE37" s="13"/>
      <c r="IF37" s="13"/>
      <c r="IG37" s="13"/>
      <c r="IH37" s="13"/>
      <c r="II37" s="13"/>
      <c r="IJ37" s="13"/>
      <c r="IK37" s="13"/>
      <c r="IL37" s="13"/>
      <c r="IM37" s="13"/>
      <c r="IN37" s="13"/>
      <c r="IO37" s="13"/>
      <c r="IP37" s="13"/>
      <c r="IQ37" s="13"/>
      <c r="IR37" s="13"/>
    </row>
    <row r="38" spans="1:252" ht="18.75" thickBot="1" x14ac:dyDescent="0.3">
      <c r="A38" s="111" t="s">
        <v>49</v>
      </c>
      <c r="B38" s="227"/>
      <c r="C38" s="181" t="s">
        <v>14</v>
      </c>
      <c r="D38" s="178">
        <v>35467</v>
      </c>
      <c r="E38" s="178">
        <v>40100.498656621698</v>
      </c>
      <c r="F38" s="178">
        <v>58999</v>
      </c>
      <c r="G38" s="178">
        <v>40100.498656621698</v>
      </c>
      <c r="H38" s="178">
        <f>40100.4986566217</f>
        <v>40100.498656621698</v>
      </c>
      <c r="I38" s="178">
        <f>40100.4986566217</f>
        <v>40100.498656621698</v>
      </c>
      <c r="J38" s="178">
        <v>40100.498656621698</v>
      </c>
      <c r="K38" s="178">
        <f>40100.4986566217</f>
        <v>40100.498656621698</v>
      </c>
      <c r="L38" s="178">
        <f>40100.4986566217</f>
        <v>40100.498656621698</v>
      </c>
      <c r="M38" s="178">
        <v>40100.498656621698</v>
      </c>
      <c r="N38" s="178">
        <v>40100.498656621698</v>
      </c>
      <c r="O38" s="178">
        <v>40100.498656621698</v>
      </c>
      <c r="P38" s="42"/>
      <c r="Q38" s="26"/>
      <c r="R38" s="26"/>
      <c r="S38" s="26"/>
      <c r="T38" s="26"/>
      <c r="U38" s="26"/>
      <c r="V38" s="26"/>
      <c r="W38" s="26"/>
      <c r="X38" s="26"/>
      <c r="Y38" s="26"/>
    </row>
    <row r="39" spans="1:252" ht="18.75" thickBot="1" x14ac:dyDescent="0.3">
      <c r="A39" s="6" t="s">
        <v>4</v>
      </c>
      <c r="B39" s="223"/>
      <c r="C39" s="181" t="s">
        <v>16</v>
      </c>
      <c r="D39" s="178">
        <v>136377</v>
      </c>
      <c r="E39" s="178">
        <v>79158.301981167984</v>
      </c>
      <c r="F39" s="178">
        <v>88185</v>
      </c>
      <c r="G39" s="178">
        <f>79158.301981168+75000-75000</f>
        <v>79158.301981167984</v>
      </c>
      <c r="H39" s="178">
        <f>79158.301981168</f>
        <v>79158.301981167999</v>
      </c>
      <c r="I39" s="178">
        <f>79158.301981168</f>
        <v>79158.301981167999</v>
      </c>
      <c r="J39" s="178">
        <f>79158.301981168+75000-75000</f>
        <v>79158.301981167984</v>
      </c>
      <c r="K39" s="178">
        <f>79158.301981168</f>
        <v>79158.301981167999</v>
      </c>
      <c r="L39" s="178">
        <f>79158.301981168</f>
        <v>79158.301981167999</v>
      </c>
      <c r="M39" s="178">
        <f>79158.301981168</f>
        <v>79158.301981167999</v>
      </c>
      <c r="N39" s="178">
        <f>79158.301981168</f>
        <v>79158.301981167999</v>
      </c>
      <c r="O39" s="178">
        <f>79158.301981168</f>
        <v>79158.301981167999</v>
      </c>
      <c r="P39" s="143" t="s">
        <v>5</v>
      </c>
      <c r="Q39" s="145" t="s">
        <v>5</v>
      </c>
      <c r="R39" s="145"/>
      <c r="S39" s="145"/>
      <c r="T39" s="145"/>
      <c r="U39" s="145"/>
      <c r="V39" s="145"/>
      <c r="W39" s="145"/>
      <c r="X39" s="145"/>
      <c r="Y39" s="145"/>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1"/>
      <c r="BF39" s="11"/>
      <c r="BG39" s="11"/>
      <c r="BH39" s="11"/>
      <c r="BI39" s="11"/>
      <c r="BJ39" s="11"/>
      <c r="BK39" s="11"/>
      <c r="BL39" s="11"/>
      <c r="BM39" s="11"/>
      <c r="BN39" s="11"/>
      <c r="BO39" s="11"/>
      <c r="BP39" s="11"/>
      <c r="BQ39" s="11"/>
      <c r="BR39" s="11"/>
      <c r="BS39" s="11"/>
      <c r="BT39" s="11"/>
      <c r="BU39" s="11"/>
      <c r="BV39" s="11"/>
      <c r="BW39" s="11"/>
      <c r="BX39" s="11"/>
      <c r="BY39" s="11"/>
      <c r="BZ39" s="11"/>
      <c r="CA39" s="11"/>
      <c r="CB39" s="11"/>
      <c r="CC39" s="11"/>
      <c r="CD39" s="11"/>
      <c r="CE39" s="11"/>
      <c r="CF39" s="11"/>
      <c r="CG39" s="11"/>
      <c r="CH39" s="11"/>
      <c r="CI39" s="11"/>
      <c r="CJ39" s="11"/>
      <c r="CK39" s="11"/>
      <c r="CL39" s="11"/>
      <c r="CM39" s="11"/>
      <c r="CN39" s="11"/>
      <c r="CO39" s="11"/>
      <c r="CP39" s="11"/>
      <c r="CQ39" s="11"/>
      <c r="CR39" s="11"/>
      <c r="CS39" s="11"/>
      <c r="CT39" s="11"/>
      <c r="CU39" s="11"/>
      <c r="CV39" s="11"/>
      <c r="CW39" s="11"/>
      <c r="CX39" s="11"/>
      <c r="CY39" s="11"/>
      <c r="CZ39" s="11"/>
      <c r="DA39" s="11"/>
      <c r="DB39" s="11"/>
      <c r="DC39" s="11"/>
      <c r="DD39" s="11"/>
      <c r="DE39" s="11"/>
      <c r="DF39" s="11"/>
      <c r="DG39" s="11"/>
      <c r="DH39" s="11"/>
      <c r="DI39" s="11"/>
      <c r="DJ39" s="11"/>
      <c r="DK39" s="11"/>
      <c r="DL39" s="11"/>
      <c r="DM39" s="11"/>
      <c r="DN39" s="11"/>
      <c r="DO39" s="11"/>
      <c r="DP39" s="11"/>
      <c r="DQ39" s="11"/>
      <c r="DR39" s="11"/>
      <c r="DS39" s="11"/>
      <c r="DT39" s="11"/>
      <c r="DU39" s="11"/>
      <c r="DV39" s="11"/>
      <c r="DW39" s="11"/>
      <c r="DX39" s="11"/>
      <c r="DY39" s="11"/>
      <c r="DZ39" s="11"/>
      <c r="EA39" s="11"/>
      <c r="EB39" s="11"/>
      <c r="EC39" s="11"/>
      <c r="ED39" s="11"/>
      <c r="EE39" s="11"/>
      <c r="EF39" s="11"/>
      <c r="EG39" s="11"/>
      <c r="EH39" s="11"/>
      <c r="EI39" s="11"/>
      <c r="EJ39" s="11"/>
      <c r="EK39" s="11"/>
      <c r="EL39" s="11"/>
      <c r="EM39" s="11"/>
      <c r="EN39" s="11"/>
      <c r="EO39" s="11"/>
      <c r="EP39" s="11"/>
      <c r="EQ39" s="11"/>
      <c r="ER39" s="11"/>
      <c r="ES39" s="11"/>
      <c r="ET39" s="11"/>
      <c r="EU39" s="11"/>
      <c r="EV39" s="11"/>
      <c r="EW39" s="11"/>
      <c r="EX39" s="11"/>
      <c r="EY39" s="11"/>
      <c r="EZ39" s="11"/>
      <c r="FA39" s="11"/>
      <c r="FB39" s="11"/>
      <c r="FC39" s="11"/>
      <c r="FD39" s="11"/>
      <c r="FE39" s="11"/>
      <c r="FF39" s="11"/>
      <c r="FG39" s="11"/>
      <c r="FH39" s="11"/>
      <c r="FI39" s="11"/>
      <c r="FJ39" s="11"/>
      <c r="FK39" s="11"/>
      <c r="FL39" s="11"/>
      <c r="FM39" s="11"/>
      <c r="FN39" s="11"/>
      <c r="FO39" s="11"/>
      <c r="FP39" s="11"/>
      <c r="FQ39" s="11"/>
      <c r="FR39" s="11"/>
      <c r="FS39" s="11"/>
      <c r="FT39" s="11"/>
      <c r="FU39" s="11"/>
      <c r="FV39" s="11"/>
      <c r="FW39" s="11"/>
      <c r="FX39" s="11"/>
      <c r="FY39" s="11"/>
      <c r="FZ39" s="11"/>
      <c r="GA39" s="11"/>
      <c r="GB39" s="11"/>
      <c r="GC39" s="11"/>
      <c r="GD39" s="11"/>
      <c r="GE39" s="11"/>
      <c r="GF39" s="11"/>
      <c r="GG39" s="11"/>
      <c r="GH39" s="11"/>
      <c r="GI39" s="11"/>
      <c r="GJ39" s="11"/>
      <c r="GK39" s="11"/>
      <c r="GL39" s="11"/>
      <c r="GM39" s="11"/>
      <c r="GN39" s="11"/>
      <c r="GO39" s="11"/>
      <c r="GP39" s="11"/>
      <c r="GQ39" s="11"/>
      <c r="GR39" s="11"/>
      <c r="GS39" s="11"/>
      <c r="GT39" s="11"/>
      <c r="GU39" s="11"/>
      <c r="GV39" s="11"/>
      <c r="GW39" s="11"/>
      <c r="GX39" s="11"/>
      <c r="GY39" s="11"/>
      <c r="GZ39" s="11"/>
      <c r="HA39" s="11"/>
      <c r="HB39" s="11"/>
      <c r="HC39" s="11"/>
      <c r="HD39" s="11"/>
      <c r="HE39" s="11"/>
      <c r="HF39" s="11"/>
      <c r="HG39" s="11"/>
      <c r="HH39" s="11"/>
      <c r="HI39" s="11"/>
      <c r="HJ39" s="11"/>
      <c r="HK39" s="11"/>
      <c r="HL39" s="11"/>
      <c r="HM39" s="11"/>
      <c r="HN39" s="11"/>
      <c r="HO39" s="11"/>
      <c r="HP39" s="11"/>
      <c r="HQ39" s="11"/>
      <c r="HR39" s="11"/>
      <c r="HS39" s="11"/>
      <c r="HT39" s="11"/>
      <c r="HU39" s="11"/>
      <c r="HV39" s="11"/>
      <c r="HW39" s="11"/>
      <c r="HX39" s="11"/>
      <c r="HY39" s="11"/>
      <c r="HZ39" s="11"/>
      <c r="IA39" s="11"/>
      <c r="IB39" s="11"/>
      <c r="IC39" s="11"/>
      <c r="ID39" s="11"/>
      <c r="IE39" s="11"/>
      <c r="IF39" s="11"/>
      <c r="IG39" s="11"/>
      <c r="IH39" s="11"/>
      <c r="II39" s="11"/>
      <c r="IJ39" s="11"/>
      <c r="IK39" s="11"/>
      <c r="IL39" s="11"/>
      <c r="IM39" s="11"/>
      <c r="IN39" s="11"/>
      <c r="IO39" s="11"/>
      <c r="IP39" s="11"/>
      <c r="IQ39" s="11"/>
      <c r="IR39" s="11"/>
    </row>
    <row r="40" spans="1:252" ht="18.75" thickBot="1" x14ac:dyDescent="0.3">
      <c r="A40" s="6" t="s">
        <v>4</v>
      </c>
      <c r="B40" s="223"/>
      <c r="C40" s="240" t="s">
        <v>150</v>
      </c>
      <c r="D40" s="179">
        <v>200000.29029161701</v>
      </c>
      <c r="E40" s="179">
        <v>200000.30528311469</v>
      </c>
      <c r="F40" s="179">
        <v>200000</v>
      </c>
      <c r="G40" s="179">
        <v>200000.30528311469</v>
      </c>
      <c r="H40" s="179">
        <f>300000</f>
        <v>300000</v>
      </c>
      <c r="I40" s="179">
        <f>300000</f>
        <v>300000</v>
      </c>
      <c r="J40" s="179">
        <v>200000.30528311469</v>
      </c>
      <c r="K40" s="179">
        <f>300000</f>
        <v>300000</v>
      </c>
      <c r="L40" s="179">
        <f>300000</f>
        <v>300000</v>
      </c>
      <c r="M40" s="179">
        <f>300000</f>
        <v>300000</v>
      </c>
      <c r="N40" s="179">
        <f>300000</f>
        <v>300000</v>
      </c>
      <c r="O40" s="179">
        <f>300000</f>
        <v>300000</v>
      </c>
      <c r="P40" s="141"/>
      <c r="Q40" s="145"/>
      <c r="R40" s="145"/>
      <c r="S40" s="145"/>
      <c r="T40" s="145"/>
      <c r="U40" s="145"/>
      <c r="V40" s="145"/>
      <c r="W40" s="145"/>
      <c r="X40" s="145"/>
      <c r="Y40" s="145"/>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c r="BG40" s="11"/>
      <c r="BH40" s="11"/>
      <c r="BI40" s="11"/>
      <c r="BJ40" s="11"/>
      <c r="BK40" s="11"/>
      <c r="BL40" s="11"/>
      <c r="BM40" s="11"/>
      <c r="BN40" s="11"/>
      <c r="BO40" s="11"/>
      <c r="BP40" s="11"/>
      <c r="BQ40" s="11"/>
      <c r="BR40" s="11"/>
      <c r="BS40" s="11"/>
      <c r="BT40" s="11"/>
      <c r="BU40" s="11"/>
      <c r="BV40" s="11"/>
      <c r="BW40" s="11"/>
      <c r="BX40" s="11"/>
      <c r="BY40" s="11"/>
      <c r="BZ40" s="11"/>
      <c r="CA40" s="11"/>
      <c r="CB40" s="11"/>
      <c r="CC40" s="11"/>
      <c r="CD40" s="11"/>
      <c r="CE40" s="11"/>
      <c r="CF40" s="11"/>
      <c r="CG40" s="11"/>
      <c r="CH40" s="11"/>
      <c r="CI40" s="11"/>
      <c r="CJ40" s="11"/>
      <c r="CK40" s="11"/>
      <c r="CL40" s="11"/>
      <c r="CM40" s="11"/>
      <c r="CN40" s="11"/>
      <c r="CO40" s="11"/>
      <c r="CP40" s="11"/>
      <c r="CQ40" s="11"/>
      <c r="CR40" s="11"/>
      <c r="CS40" s="11"/>
      <c r="CT40" s="11"/>
      <c r="CU40" s="11"/>
      <c r="CV40" s="11"/>
      <c r="CW40" s="11"/>
      <c r="CX40" s="11"/>
      <c r="CY40" s="11"/>
      <c r="CZ40" s="11"/>
      <c r="DA40" s="11"/>
      <c r="DB40" s="11"/>
      <c r="DC40" s="11"/>
      <c r="DD40" s="11"/>
      <c r="DE40" s="11"/>
      <c r="DF40" s="11"/>
      <c r="DG40" s="11"/>
      <c r="DH40" s="11"/>
      <c r="DI40" s="11"/>
      <c r="DJ40" s="11"/>
      <c r="DK40" s="11"/>
      <c r="DL40" s="11"/>
      <c r="DM40" s="11"/>
      <c r="DN40" s="11"/>
      <c r="DO40" s="11"/>
      <c r="DP40" s="11"/>
      <c r="DQ40" s="11"/>
      <c r="DR40" s="11"/>
      <c r="DS40" s="11"/>
      <c r="DT40" s="11"/>
      <c r="DU40" s="11"/>
      <c r="DV40" s="11"/>
      <c r="DW40" s="11"/>
      <c r="DX40" s="11"/>
      <c r="DY40" s="11"/>
      <c r="DZ40" s="11"/>
      <c r="EA40" s="11"/>
      <c r="EB40" s="11"/>
      <c r="EC40" s="11"/>
      <c r="ED40" s="11"/>
      <c r="EE40" s="11"/>
      <c r="EF40" s="11"/>
      <c r="EG40" s="11"/>
      <c r="EH40" s="11"/>
      <c r="EI40" s="11"/>
      <c r="EJ40" s="11"/>
      <c r="EK40" s="11"/>
      <c r="EL40" s="11"/>
      <c r="EM40" s="11"/>
      <c r="EN40" s="11"/>
      <c r="EO40" s="11"/>
      <c r="EP40" s="11"/>
      <c r="EQ40" s="11"/>
      <c r="ER40" s="11"/>
      <c r="ES40" s="11"/>
      <c r="ET40" s="11"/>
      <c r="EU40" s="11"/>
      <c r="EV40" s="11"/>
      <c r="EW40" s="11"/>
      <c r="EX40" s="11"/>
      <c r="EY40" s="11"/>
      <c r="EZ40" s="11"/>
      <c r="FA40" s="11"/>
      <c r="FB40" s="11"/>
      <c r="FC40" s="11"/>
      <c r="FD40" s="11"/>
      <c r="FE40" s="11"/>
      <c r="FF40" s="11"/>
      <c r="FG40" s="11"/>
      <c r="FH40" s="11"/>
      <c r="FI40" s="11"/>
      <c r="FJ40" s="11"/>
      <c r="FK40" s="11"/>
      <c r="FL40" s="11"/>
      <c r="FM40" s="11"/>
      <c r="FN40" s="11"/>
      <c r="FO40" s="11"/>
      <c r="FP40" s="11"/>
      <c r="FQ40" s="11"/>
      <c r="FR40" s="11"/>
      <c r="FS40" s="11"/>
      <c r="FT40" s="11"/>
      <c r="FU40" s="11"/>
      <c r="FV40" s="11"/>
      <c r="FW40" s="11"/>
      <c r="FX40" s="11"/>
      <c r="FY40" s="11"/>
      <c r="FZ40" s="11"/>
      <c r="GA40" s="11"/>
      <c r="GB40" s="11"/>
      <c r="GC40" s="11"/>
      <c r="GD40" s="11"/>
      <c r="GE40" s="11"/>
      <c r="GF40" s="11"/>
      <c r="GG40" s="11"/>
      <c r="GH40" s="11"/>
      <c r="GI40" s="11"/>
      <c r="GJ40" s="11"/>
      <c r="GK40" s="11"/>
      <c r="GL40" s="11"/>
      <c r="GM40" s="11"/>
      <c r="GN40" s="11"/>
      <c r="GO40" s="11"/>
      <c r="GP40" s="11"/>
      <c r="GQ40" s="11"/>
      <c r="GR40" s="11"/>
      <c r="GS40" s="11"/>
      <c r="GT40" s="11"/>
      <c r="GU40" s="11"/>
      <c r="GV40" s="11"/>
      <c r="GW40" s="11"/>
      <c r="GX40" s="11"/>
      <c r="GY40" s="11"/>
      <c r="GZ40" s="11"/>
      <c r="HA40" s="11"/>
      <c r="HB40" s="11"/>
      <c r="HC40" s="11"/>
      <c r="HD40" s="11"/>
      <c r="HE40" s="11"/>
      <c r="HF40" s="11"/>
      <c r="HG40" s="11"/>
      <c r="HH40" s="11"/>
      <c r="HI40" s="11"/>
      <c r="HJ40" s="11"/>
      <c r="HK40" s="11"/>
      <c r="HL40" s="11"/>
      <c r="HM40" s="11"/>
      <c r="HN40" s="11"/>
      <c r="HO40" s="11"/>
      <c r="HP40" s="11"/>
      <c r="HQ40" s="11"/>
      <c r="HR40" s="11"/>
      <c r="HS40" s="11"/>
      <c r="HT40" s="11"/>
      <c r="HU40" s="11"/>
      <c r="HV40" s="11"/>
      <c r="HW40" s="11"/>
      <c r="HX40" s="11"/>
      <c r="HY40" s="11"/>
      <c r="HZ40" s="11"/>
      <c r="IA40" s="11"/>
      <c r="IB40" s="11"/>
      <c r="IC40" s="11"/>
      <c r="ID40" s="11"/>
      <c r="IE40" s="11"/>
      <c r="IF40" s="11"/>
      <c r="IG40" s="11"/>
      <c r="IH40" s="11"/>
      <c r="II40" s="11"/>
      <c r="IJ40" s="11"/>
      <c r="IK40" s="11"/>
      <c r="IL40" s="11"/>
      <c r="IM40" s="11"/>
      <c r="IN40" s="11"/>
      <c r="IO40" s="11"/>
      <c r="IP40" s="11"/>
      <c r="IQ40" s="11"/>
      <c r="IR40" s="11"/>
    </row>
    <row r="41" spans="1:252" ht="18.75" thickBot="1" x14ac:dyDescent="0.3">
      <c r="A41" s="6" t="s">
        <v>4</v>
      </c>
      <c r="B41" s="223"/>
      <c r="C41" s="240" t="s">
        <v>147</v>
      </c>
      <c r="D41" s="178">
        <v>25797.72</v>
      </c>
      <c r="E41" s="178">
        <v>21931</v>
      </c>
      <c r="F41" s="178">
        <v>28548</v>
      </c>
      <c r="G41" s="178">
        <f>20000+1931</f>
        <v>21931</v>
      </c>
      <c r="H41" s="178">
        <f>21931+7676</f>
        <v>29607</v>
      </c>
      <c r="I41" s="178">
        <f>29607</f>
        <v>29607</v>
      </c>
      <c r="J41" s="178">
        <f>20000+1931</f>
        <v>21931</v>
      </c>
      <c r="K41" s="178">
        <f>21931+7676</f>
        <v>29607</v>
      </c>
      <c r="L41" s="178">
        <f>21931+7676</f>
        <v>29607</v>
      </c>
      <c r="M41" s="178">
        <f>21931+7676</f>
        <v>29607</v>
      </c>
      <c r="N41" s="178">
        <f>21931+7676</f>
        <v>29607</v>
      </c>
      <c r="O41" s="178">
        <f>21931+7676</f>
        <v>29607</v>
      </c>
      <c r="P41" s="14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c r="BI41" s="11"/>
      <c r="BJ41" s="11"/>
      <c r="BK41" s="11"/>
      <c r="BL41" s="11"/>
      <c r="BM41" s="11"/>
      <c r="BN41" s="11"/>
      <c r="BO41" s="11"/>
      <c r="BP41" s="11"/>
      <c r="BQ41" s="11"/>
      <c r="BR41" s="11"/>
      <c r="BS41" s="11"/>
      <c r="BT41" s="11"/>
      <c r="BU41" s="11"/>
      <c r="BV41" s="11"/>
      <c r="BW41" s="11"/>
      <c r="BX41" s="11"/>
      <c r="BY41" s="11"/>
      <c r="BZ41" s="11"/>
      <c r="CA41" s="11"/>
      <c r="CB41" s="11"/>
      <c r="CC41" s="11"/>
      <c r="CD41" s="11"/>
      <c r="CE41" s="11"/>
      <c r="CF41" s="11"/>
      <c r="CG41" s="11"/>
      <c r="CH41" s="11"/>
      <c r="CI41" s="11"/>
      <c r="CJ41" s="11"/>
      <c r="CK41" s="11"/>
      <c r="CL41" s="11"/>
      <c r="CM41" s="11"/>
      <c r="CN41" s="11"/>
      <c r="CO41" s="11"/>
      <c r="CP41" s="11"/>
      <c r="CQ41" s="11"/>
      <c r="CR41" s="11"/>
      <c r="CS41" s="11"/>
      <c r="CT41" s="11"/>
      <c r="CU41" s="11"/>
      <c r="CV41" s="11"/>
      <c r="CW41" s="11"/>
      <c r="CX41" s="11"/>
      <c r="CY41" s="11"/>
      <c r="CZ41" s="11"/>
      <c r="DA41" s="11"/>
      <c r="DB41" s="11"/>
      <c r="DC41" s="11"/>
      <c r="DD41" s="11"/>
      <c r="DE41" s="11"/>
      <c r="DF41" s="11"/>
      <c r="DG41" s="11"/>
      <c r="DH41" s="11"/>
      <c r="DI41" s="11"/>
      <c r="DJ41" s="11"/>
      <c r="DK41" s="11"/>
      <c r="DL41" s="11"/>
      <c r="DM41" s="11"/>
      <c r="DN41" s="11"/>
      <c r="DO41" s="11"/>
      <c r="DP41" s="11"/>
      <c r="DQ41" s="11"/>
      <c r="DR41" s="11"/>
      <c r="DS41" s="11"/>
      <c r="DT41" s="11"/>
      <c r="DU41" s="11"/>
      <c r="DV41" s="11"/>
      <c r="DW41" s="11"/>
      <c r="DX41" s="11"/>
      <c r="DY41" s="11"/>
      <c r="DZ41" s="11"/>
      <c r="EA41" s="11"/>
      <c r="EB41" s="11"/>
      <c r="EC41" s="11"/>
      <c r="ED41" s="11"/>
      <c r="EE41" s="11"/>
      <c r="EF41" s="11"/>
      <c r="EG41" s="11"/>
      <c r="EH41" s="11"/>
      <c r="EI41" s="11"/>
      <c r="EJ41" s="11"/>
      <c r="EK41" s="11"/>
      <c r="EL41" s="11"/>
      <c r="EM41" s="11"/>
      <c r="EN41" s="11"/>
      <c r="EO41" s="11"/>
      <c r="EP41" s="11"/>
      <c r="EQ41" s="11"/>
      <c r="ER41" s="11"/>
      <c r="ES41" s="11"/>
      <c r="ET41" s="11"/>
      <c r="EU41" s="11"/>
      <c r="EV41" s="11"/>
      <c r="EW41" s="11"/>
      <c r="EX41" s="11"/>
      <c r="EY41" s="11"/>
      <c r="EZ41" s="11"/>
      <c r="FA41" s="11"/>
      <c r="FB41" s="11"/>
      <c r="FC41" s="11"/>
      <c r="FD41" s="11"/>
      <c r="FE41" s="11"/>
      <c r="FF41" s="11"/>
      <c r="FG41" s="11"/>
      <c r="FH41" s="11"/>
      <c r="FI41" s="11"/>
      <c r="FJ41" s="11"/>
      <c r="FK41" s="11"/>
      <c r="FL41" s="11"/>
      <c r="FM41" s="11"/>
      <c r="FN41" s="11"/>
      <c r="FO41" s="11"/>
      <c r="FP41" s="11"/>
      <c r="FQ41" s="11"/>
      <c r="FR41" s="11"/>
      <c r="FS41" s="11"/>
      <c r="FT41" s="11"/>
      <c r="FU41" s="11"/>
      <c r="FV41" s="11"/>
      <c r="FW41" s="11"/>
      <c r="FX41" s="11"/>
      <c r="FY41" s="11"/>
      <c r="FZ41" s="11"/>
      <c r="GA41" s="11"/>
      <c r="GB41" s="11"/>
      <c r="GC41" s="11"/>
      <c r="GD41" s="11"/>
      <c r="GE41" s="11"/>
      <c r="GF41" s="11"/>
      <c r="GG41" s="11"/>
      <c r="GH41" s="11"/>
      <c r="GI41" s="11"/>
      <c r="GJ41" s="11"/>
      <c r="GK41" s="11"/>
      <c r="GL41" s="11"/>
      <c r="GM41" s="11"/>
      <c r="GN41" s="11"/>
      <c r="GO41" s="11"/>
      <c r="GP41" s="11"/>
      <c r="GQ41" s="11"/>
      <c r="GR41" s="11"/>
      <c r="GS41" s="11"/>
      <c r="GT41" s="11"/>
      <c r="GU41" s="11"/>
      <c r="GV41" s="11"/>
      <c r="GW41" s="11"/>
      <c r="GX41" s="11"/>
      <c r="GY41" s="11"/>
      <c r="GZ41" s="11"/>
      <c r="HA41" s="11"/>
      <c r="HB41" s="11"/>
      <c r="HC41" s="11"/>
      <c r="HD41" s="11"/>
      <c r="HE41" s="11"/>
      <c r="HF41" s="11"/>
      <c r="HG41" s="11"/>
      <c r="HH41" s="11"/>
      <c r="HI41" s="11"/>
      <c r="HJ41" s="11"/>
      <c r="HK41" s="11"/>
      <c r="HL41" s="11"/>
      <c r="HM41" s="11"/>
      <c r="HN41" s="11"/>
      <c r="HO41" s="11"/>
      <c r="HP41" s="11"/>
      <c r="HQ41" s="11"/>
      <c r="HR41" s="11"/>
      <c r="HS41" s="11"/>
      <c r="HT41" s="11"/>
      <c r="HU41" s="11"/>
      <c r="HV41" s="11"/>
      <c r="HW41" s="11"/>
      <c r="HX41" s="11"/>
      <c r="HY41" s="11"/>
      <c r="HZ41" s="11"/>
      <c r="IA41" s="11"/>
      <c r="IB41" s="11"/>
      <c r="IC41" s="11"/>
      <c r="ID41" s="11"/>
      <c r="IE41" s="11"/>
      <c r="IF41" s="11"/>
      <c r="IG41" s="11"/>
      <c r="IH41" s="11"/>
      <c r="II41" s="11"/>
      <c r="IJ41" s="11"/>
      <c r="IK41" s="11"/>
      <c r="IL41" s="11"/>
      <c r="IM41" s="11"/>
      <c r="IN41" s="11"/>
      <c r="IO41" s="11"/>
      <c r="IP41" s="11"/>
      <c r="IQ41" s="11"/>
      <c r="IR41" s="11"/>
    </row>
    <row r="42" spans="1:252" ht="18.75" thickBot="1" x14ac:dyDescent="0.3">
      <c r="A42" s="6" t="s">
        <v>4</v>
      </c>
      <c r="B42" s="223"/>
      <c r="C42" s="181" t="s">
        <v>15</v>
      </c>
      <c r="D42" s="178">
        <v>122355.67</v>
      </c>
      <c r="E42" s="178">
        <v>140725.87018874279</v>
      </c>
      <c r="F42" s="178">
        <v>178639</v>
      </c>
      <c r="G42" s="178">
        <v>140725.87018874279</v>
      </c>
      <c r="H42" s="178">
        <f>140725.870188743</f>
        <v>140725.87018874299</v>
      </c>
      <c r="I42" s="178">
        <f>140725.870188743</f>
        <v>140725.87018874299</v>
      </c>
      <c r="J42" s="178">
        <v>140725.87018874279</v>
      </c>
      <c r="K42" s="178">
        <f>140725.870188743</f>
        <v>140725.87018874299</v>
      </c>
      <c r="L42" s="178">
        <f>140725.870188743</f>
        <v>140725.87018874299</v>
      </c>
      <c r="M42" s="178">
        <v>140725.87018874279</v>
      </c>
      <c r="N42" s="178">
        <v>140725.87018874279</v>
      </c>
      <c r="O42" s="178">
        <v>140725.87018874279</v>
      </c>
      <c r="P42" s="14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1"/>
      <c r="BF42" s="11"/>
      <c r="BG42" s="11"/>
      <c r="BH42" s="11"/>
      <c r="BI42" s="11"/>
      <c r="BJ42" s="11"/>
      <c r="BK42" s="11"/>
      <c r="BL42" s="11"/>
      <c r="BM42" s="11"/>
      <c r="BN42" s="11"/>
      <c r="BO42" s="11"/>
      <c r="BP42" s="11"/>
      <c r="BQ42" s="11"/>
      <c r="BR42" s="11"/>
      <c r="BS42" s="11"/>
      <c r="BT42" s="11"/>
      <c r="BU42" s="11"/>
      <c r="BV42" s="11"/>
      <c r="BW42" s="11"/>
      <c r="BX42" s="11"/>
      <c r="BY42" s="11"/>
      <c r="BZ42" s="11"/>
      <c r="CA42" s="11"/>
      <c r="CB42" s="11"/>
      <c r="CC42" s="11"/>
      <c r="CD42" s="11"/>
      <c r="CE42" s="11"/>
      <c r="CF42" s="11"/>
      <c r="CG42" s="11"/>
      <c r="CH42" s="11"/>
      <c r="CI42" s="11"/>
      <c r="CJ42" s="11"/>
      <c r="CK42" s="11"/>
      <c r="CL42" s="11"/>
      <c r="CM42" s="11"/>
      <c r="CN42" s="11"/>
      <c r="CO42" s="11"/>
      <c r="CP42" s="11"/>
      <c r="CQ42" s="11"/>
      <c r="CR42" s="11"/>
      <c r="CS42" s="11"/>
      <c r="CT42" s="11"/>
      <c r="CU42" s="11"/>
      <c r="CV42" s="11"/>
      <c r="CW42" s="11"/>
      <c r="CX42" s="11"/>
      <c r="CY42" s="11"/>
      <c r="CZ42" s="11"/>
      <c r="DA42" s="11"/>
      <c r="DB42" s="11"/>
      <c r="DC42" s="11"/>
      <c r="DD42" s="11"/>
      <c r="DE42" s="11"/>
      <c r="DF42" s="11"/>
      <c r="DG42" s="11"/>
      <c r="DH42" s="11"/>
      <c r="DI42" s="11"/>
      <c r="DJ42" s="11"/>
      <c r="DK42" s="11"/>
      <c r="DL42" s="11"/>
      <c r="DM42" s="11"/>
      <c r="DN42" s="11"/>
      <c r="DO42" s="11"/>
      <c r="DP42" s="11"/>
      <c r="DQ42" s="11"/>
      <c r="DR42" s="11"/>
      <c r="DS42" s="11"/>
      <c r="DT42" s="11"/>
      <c r="DU42" s="11"/>
      <c r="DV42" s="11"/>
      <c r="DW42" s="11"/>
      <c r="DX42" s="11"/>
      <c r="DY42" s="11"/>
      <c r="DZ42" s="11"/>
      <c r="EA42" s="11"/>
      <c r="EB42" s="11"/>
      <c r="EC42" s="11"/>
      <c r="ED42" s="11"/>
      <c r="EE42" s="11"/>
      <c r="EF42" s="11"/>
      <c r="EG42" s="11"/>
      <c r="EH42" s="11"/>
      <c r="EI42" s="11"/>
      <c r="EJ42" s="11"/>
      <c r="EK42" s="11"/>
      <c r="EL42" s="11"/>
      <c r="EM42" s="11"/>
      <c r="EN42" s="11"/>
      <c r="EO42" s="11"/>
      <c r="EP42" s="11"/>
      <c r="EQ42" s="11"/>
      <c r="ER42" s="11"/>
      <c r="ES42" s="11"/>
      <c r="ET42" s="11"/>
      <c r="EU42" s="11"/>
      <c r="EV42" s="11"/>
      <c r="EW42" s="11"/>
      <c r="EX42" s="11"/>
      <c r="EY42" s="11"/>
      <c r="EZ42" s="11"/>
      <c r="FA42" s="11"/>
      <c r="FB42" s="11"/>
      <c r="FC42" s="11"/>
      <c r="FD42" s="11"/>
      <c r="FE42" s="11"/>
      <c r="FF42" s="11"/>
      <c r="FG42" s="11"/>
      <c r="FH42" s="11"/>
      <c r="FI42" s="11"/>
      <c r="FJ42" s="11"/>
      <c r="FK42" s="11"/>
      <c r="FL42" s="11"/>
      <c r="FM42" s="11"/>
      <c r="FN42" s="11"/>
      <c r="FO42" s="11"/>
      <c r="FP42" s="11"/>
      <c r="FQ42" s="11"/>
      <c r="FR42" s="11"/>
      <c r="FS42" s="11"/>
      <c r="FT42" s="11"/>
      <c r="FU42" s="11"/>
      <c r="FV42" s="11"/>
      <c r="FW42" s="11"/>
      <c r="FX42" s="11"/>
      <c r="FY42" s="11"/>
      <c r="FZ42" s="11"/>
      <c r="GA42" s="11"/>
      <c r="GB42" s="11"/>
      <c r="GC42" s="11"/>
      <c r="GD42" s="11"/>
      <c r="GE42" s="11"/>
      <c r="GF42" s="11"/>
      <c r="GG42" s="11"/>
      <c r="GH42" s="11"/>
      <c r="GI42" s="11"/>
      <c r="GJ42" s="11"/>
      <c r="GK42" s="11"/>
      <c r="GL42" s="11"/>
      <c r="GM42" s="11"/>
      <c r="GN42" s="11"/>
      <c r="GO42" s="11"/>
      <c r="GP42" s="11"/>
      <c r="GQ42" s="11"/>
      <c r="GR42" s="11"/>
      <c r="GS42" s="11"/>
      <c r="GT42" s="11"/>
      <c r="GU42" s="11"/>
      <c r="GV42" s="11"/>
      <c r="GW42" s="11"/>
      <c r="GX42" s="11"/>
      <c r="GY42" s="11"/>
      <c r="GZ42" s="11"/>
      <c r="HA42" s="11"/>
      <c r="HB42" s="11"/>
      <c r="HC42" s="11"/>
      <c r="HD42" s="11"/>
      <c r="HE42" s="11"/>
      <c r="HF42" s="11"/>
      <c r="HG42" s="11"/>
      <c r="HH42" s="11"/>
      <c r="HI42" s="11"/>
      <c r="HJ42" s="11"/>
      <c r="HK42" s="11"/>
      <c r="HL42" s="11"/>
      <c r="HM42" s="11"/>
      <c r="HN42" s="11"/>
      <c r="HO42" s="11"/>
      <c r="HP42" s="11"/>
      <c r="HQ42" s="11"/>
      <c r="HR42" s="11"/>
      <c r="HS42" s="11"/>
      <c r="HT42" s="11"/>
      <c r="HU42" s="11"/>
      <c r="HV42" s="11"/>
      <c r="HW42" s="11"/>
      <c r="HX42" s="11"/>
      <c r="HY42" s="11"/>
      <c r="HZ42" s="11"/>
      <c r="IA42" s="11"/>
      <c r="IB42" s="11"/>
      <c r="IC42" s="11"/>
      <c r="ID42" s="11"/>
      <c r="IE42" s="11"/>
      <c r="IF42" s="11"/>
      <c r="IG42" s="11"/>
      <c r="IH42" s="11"/>
      <c r="II42" s="11"/>
      <c r="IJ42" s="11"/>
      <c r="IK42" s="11"/>
      <c r="IL42" s="11"/>
      <c r="IM42" s="11"/>
      <c r="IN42" s="11"/>
      <c r="IO42" s="11"/>
      <c r="IP42" s="11"/>
      <c r="IQ42" s="11"/>
      <c r="IR42" s="11"/>
    </row>
    <row r="43" spans="1:252" ht="18.75" thickBot="1" x14ac:dyDescent="0.3">
      <c r="A43" s="6" t="s">
        <v>4</v>
      </c>
      <c r="B43" s="223"/>
      <c r="C43" s="181" t="s">
        <v>148</v>
      </c>
      <c r="D43" s="178">
        <v>44501</v>
      </c>
      <c r="E43" s="178">
        <v>43333</v>
      </c>
      <c r="F43" s="178">
        <v>41913</v>
      </c>
      <c r="G43" s="178">
        <v>43333</v>
      </c>
      <c r="H43" s="178">
        <f>43333+10000</f>
        <v>53333</v>
      </c>
      <c r="I43" s="178">
        <f>53333</f>
        <v>53333</v>
      </c>
      <c r="J43" s="178">
        <v>43333</v>
      </c>
      <c r="K43" s="178">
        <f>43333+10000</f>
        <v>53333</v>
      </c>
      <c r="L43" s="178">
        <f>43333+10000</f>
        <v>53333</v>
      </c>
      <c r="M43" s="178">
        <f>43333+10000</f>
        <v>53333</v>
      </c>
      <c r="N43" s="178">
        <f>43333+10000</f>
        <v>53333</v>
      </c>
      <c r="O43" s="178">
        <f>43333+10000</f>
        <v>53333</v>
      </c>
      <c r="P43" s="142"/>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c r="BI43" s="11"/>
      <c r="BJ43" s="11"/>
      <c r="BK43" s="11"/>
      <c r="BL43" s="11"/>
      <c r="BM43" s="11"/>
      <c r="BN43" s="11"/>
      <c r="BO43" s="11"/>
      <c r="BP43" s="11"/>
      <c r="BQ43" s="11"/>
      <c r="BR43" s="11"/>
      <c r="BS43" s="11"/>
      <c r="BT43" s="11"/>
      <c r="BU43" s="11"/>
      <c r="BV43" s="11"/>
      <c r="BW43" s="11"/>
      <c r="BX43" s="11"/>
      <c r="BY43" s="11"/>
      <c r="BZ43" s="11"/>
      <c r="CA43" s="11"/>
      <c r="CB43" s="11"/>
      <c r="CC43" s="11"/>
      <c r="CD43" s="11"/>
      <c r="CE43" s="11"/>
      <c r="CF43" s="11"/>
      <c r="CG43" s="11"/>
      <c r="CH43" s="11"/>
      <c r="CI43" s="11"/>
      <c r="CJ43" s="11"/>
      <c r="CK43" s="11"/>
      <c r="CL43" s="11"/>
      <c r="CM43" s="11"/>
      <c r="CN43" s="11"/>
      <c r="CO43" s="11"/>
      <c r="CP43" s="11"/>
      <c r="CQ43" s="11"/>
      <c r="CR43" s="11"/>
      <c r="CS43" s="11"/>
      <c r="CT43" s="11"/>
      <c r="CU43" s="11"/>
      <c r="CV43" s="11"/>
      <c r="CW43" s="11"/>
      <c r="CX43" s="11"/>
      <c r="CY43" s="11"/>
      <c r="CZ43" s="11"/>
      <c r="DA43" s="11"/>
      <c r="DB43" s="11"/>
      <c r="DC43" s="11"/>
      <c r="DD43" s="11"/>
      <c r="DE43" s="11"/>
      <c r="DF43" s="11"/>
      <c r="DG43" s="11"/>
      <c r="DH43" s="11"/>
      <c r="DI43" s="11"/>
      <c r="DJ43" s="11"/>
      <c r="DK43" s="11"/>
      <c r="DL43" s="11"/>
      <c r="DM43" s="11"/>
      <c r="DN43" s="11"/>
      <c r="DO43" s="11"/>
      <c r="DP43" s="11"/>
      <c r="DQ43" s="11"/>
      <c r="DR43" s="11"/>
      <c r="DS43" s="11"/>
      <c r="DT43" s="11"/>
      <c r="DU43" s="11"/>
      <c r="DV43" s="11"/>
      <c r="DW43" s="11"/>
      <c r="DX43" s="11"/>
      <c r="DY43" s="11"/>
      <c r="DZ43" s="11"/>
      <c r="EA43" s="11"/>
      <c r="EB43" s="11"/>
      <c r="EC43" s="11"/>
      <c r="ED43" s="11"/>
      <c r="EE43" s="11"/>
      <c r="EF43" s="11"/>
      <c r="EG43" s="11"/>
      <c r="EH43" s="11"/>
      <c r="EI43" s="11"/>
      <c r="EJ43" s="11"/>
      <c r="EK43" s="11"/>
      <c r="EL43" s="11"/>
      <c r="EM43" s="11"/>
      <c r="EN43" s="11"/>
      <c r="EO43" s="11"/>
      <c r="EP43" s="11"/>
      <c r="EQ43" s="11"/>
      <c r="ER43" s="11"/>
      <c r="ES43" s="11"/>
      <c r="ET43" s="11"/>
      <c r="EU43" s="11"/>
      <c r="EV43" s="11"/>
      <c r="EW43" s="11"/>
      <c r="EX43" s="11"/>
      <c r="EY43" s="11"/>
      <c r="EZ43" s="11"/>
      <c r="FA43" s="11"/>
      <c r="FB43" s="11"/>
      <c r="FC43" s="11"/>
      <c r="FD43" s="11"/>
      <c r="FE43" s="11"/>
      <c r="FF43" s="11"/>
      <c r="FG43" s="11"/>
      <c r="FH43" s="11"/>
      <c r="FI43" s="11"/>
      <c r="FJ43" s="11"/>
      <c r="FK43" s="11"/>
      <c r="FL43" s="11"/>
      <c r="FM43" s="11"/>
      <c r="FN43" s="11"/>
      <c r="FO43" s="11"/>
      <c r="FP43" s="11"/>
      <c r="FQ43" s="11"/>
      <c r="FR43" s="11"/>
      <c r="FS43" s="11"/>
      <c r="FT43" s="11"/>
      <c r="FU43" s="11"/>
      <c r="FV43" s="11"/>
      <c r="FW43" s="11"/>
      <c r="FX43" s="11"/>
      <c r="FY43" s="11"/>
      <c r="FZ43" s="11"/>
      <c r="GA43" s="11"/>
      <c r="GB43" s="11"/>
      <c r="GC43" s="11"/>
      <c r="GD43" s="11"/>
      <c r="GE43" s="11"/>
      <c r="GF43" s="11"/>
      <c r="GG43" s="11"/>
      <c r="GH43" s="11"/>
      <c r="GI43" s="11"/>
      <c r="GJ43" s="11"/>
      <c r="GK43" s="11"/>
      <c r="GL43" s="11"/>
      <c r="GM43" s="11"/>
      <c r="GN43" s="11"/>
      <c r="GO43" s="11"/>
      <c r="GP43" s="11"/>
      <c r="GQ43" s="11"/>
      <c r="GR43" s="11"/>
      <c r="GS43" s="11"/>
      <c r="GT43" s="11"/>
      <c r="GU43" s="11"/>
      <c r="GV43" s="11"/>
      <c r="GW43" s="11"/>
      <c r="GX43" s="11"/>
      <c r="GY43" s="11"/>
      <c r="GZ43" s="11"/>
      <c r="HA43" s="11"/>
      <c r="HB43" s="11"/>
      <c r="HC43" s="11"/>
      <c r="HD43" s="11"/>
      <c r="HE43" s="11"/>
      <c r="HF43" s="11"/>
      <c r="HG43" s="11"/>
      <c r="HH43" s="11"/>
      <c r="HI43" s="11"/>
      <c r="HJ43" s="11"/>
      <c r="HK43" s="11"/>
      <c r="HL43" s="11"/>
      <c r="HM43" s="11"/>
      <c r="HN43" s="11"/>
      <c r="HO43" s="11"/>
      <c r="HP43" s="11"/>
      <c r="HQ43" s="11"/>
      <c r="HR43" s="11"/>
      <c r="HS43" s="11"/>
      <c r="HT43" s="11"/>
      <c r="HU43" s="11"/>
      <c r="HV43" s="11"/>
      <c r="HW43" s="11"/>
      <c r="HX43" s="11"/>
      <c r="HY43" s="11"/>
      <c r="HZ43" s="11"/>
      <c r="IA43" s="11"/>
      <c r="IB43" s="11"/>
      <c r="IC43" s="11"/>
      <c r="ID43" s="11"/>
      <c r="IE43" s="11"/>
      <c r="IF43" s="11"/>
      <c r="IG43" s="11"/>
      <c r="IH43" s="11"/>
      <c r="II43" s="11"/>
      <c r="IJ43" s="11"/>
      <c r="IK43" s="11"/>
      <c r="IL43" s="11"/>
      <c r="IM43" s="11"/>
      <c r="IN43" s="11"/>
      <c r="IO43" s="11"/>
      <c r="IP43" s="11"/>
      <c r="IQ43" s="11"/>
      <c r="IR43" s="11"/>
    </row>
    <row r="44" spans="1:252" ht="18.75" thickBot="1" x14ac:dyDescent="0.3">
      <c r="A44" s="6" t="s">
        <v>4</v>
      </c>
      <c r="B44" s="223"/>
      <c r="C44" s="181" t="s">
        <v>151</v>
      </c>
      <c r="D44" s="178">
        <v>10000</v>
      </c>
      <c r="E44" s="178">
        <v>10000</v>
      </c>
      <c r="F44" s="178">
        <v>10000</v>
      </c>
      <c r="G44" s="178">
        <v>10000</v>
      </c>
      <c r="H44" s="178">
        <f>10000</f>
        <v>10000</v>
      </c>
      <c r="I44" s="178">
        <f>10000</f>
        <v>10000</v>
      </c>
      <c r="J44" s="178">
        <v>10000</v>
      </c>
      <c r="K44" s="178">
        <f>10000</f>
        <v>10000</v>
      </c>
      <c r="L44" s="178">
        <f>10000</f>
        <v>10000</v>
      </c>
      <c r="M44" s="178">
        <v>10000</v>
      </c>
      <c r="N44" s="178">
        <v>10000</v>
      </c>
      <c r="O44" s="178">
        <v>10000</v>
      </c>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c r="BC44" s="11"/>
      <c r="BD44" s="11"/>
      <c r="BE44" s="11"/>
      <c r="BF44" s="11"/>
      <c r="BG44" s="11"/>
      <c r="BH44" s="11"/>
      <c r="BI44" s="11"/>
      <c r="BJ44" s="11"/>
      <c r="BK44" s="11"/>
      <c r="BL44" s="11"/>
      <c r="BM44" s="11"/>
      <c r="BN44" s="11"/>
      <c r="BO44" s="11"/>
      <c r="BP44" s="11"/>
      <c r="BQ44" s="11"/>
      <c r="BR44" s="11"/>
      <c r="BS44" s="11"/>
      <c r="BT44" s="11"/>
      <c r="BU44" s="11"/>
      <c r="BV44" s="11"/>
      <c r="BW44" s="11"/>
      <c r="BX44" s="11"/>
      <c r="BY44" s="11"/>
      <c r="BZ44" s="11"/>
      <c r="CA44" s="11"/>
      <c r="CB44" s="11"/>
      <c r="CC44" s="11"/>
      <c r="CD44" s="11"/>
      <c r="CE44" s="11"/>
      <c r="CF44" s="11"/>
      <c r="CG44" s="11"/>
      <c r="CH44" s="11"/>
      <c r="CI44" s="11"/>
      <c r="CJ44" s="11"/>
      <c r="CK44" s="11"/>
      <c r="CL44" s="11"/>
      <c r="CM44" s="11"/>
      <c r="CN44" s="11"/>
      <c r="CO44" s="11"/>
      <c r="CP44" s="11"/>
      <c r="CQ44" s="11"/>
      <c r="CR44" s="11"/>
      <c r="CS44" s="11"/>
      <c r="CT44" s="11"/>
      <c r="CU44" s="11"/>
      <c r="CV44" s="11"/>
      <c r="CW44" s="11"/>
      <c r="CX44" s="11"/>
      <c r="CY44" s="11"/>
      <c r="CZ44" s="11"/>
      <c r="DA44" s="11"/>
      <c r="DB44" s="11"/>
      <c r="DC44" s="11"/>
      <c r="DD44" s="11"/>
      <c r="DE44" s="11"/>
      <c r="DF44" s="11"/>
      <c r="DG44" s="11"/>
      <c r="DH44" s="11"/>
      <c r="DI44" s="11"/>
      <c r="DJ44" s="11"/>
      <c r="DK44" s="11"/>
      <c r="DL44" s="11"/>
      <c r="DM44" s="11"/>
      <c r="DN44" s="11"/>
      <c r="DO44" s="11"/>
      <c r="DP44" s="11"/>
      <c r="DQ44" s="11"/>
      <c r="DR44" s="11"/>
      <c r="DS44" s="11"/>
      <c r="DT44" s="11"/>
      <c r="DU44" s="11"/>
      <c r="DV44" s="11"/>
      <c r="DW44" s="11"/>
      <c r="DX44" s="11"/>
      <c r="DY44" s="11"/>
      <c r="DZ44" s="11"/>
      <c r="EA44" s="11"/>
      <c r="EB44" s="11"/>
      <c r="EC44" s="11"/>
      <c r="ED44" s="11"/>
      <c r="EE44" s="11"/>
      <c r="EF44" s="11"/>
      <c r="EG44" s="11"/>
      <c r="EH44" s="11"/>
      <c r="EI44" s="11"/>
      <c r="EJ44" s="11"/>
      <c r="EK44" s="11"/>
      <c r="EL44" s="11"/>
      <c r="EM44" s="11"/>
      <c r="EN44" s="11"/>
      <c r="EO44" s="11"/>
      <c r="EP44" s="11"/>
      <c r="EQ44" s="11"/>
      <c r="ER44" s="11"/>
      <c r="ES44" s="11"/>
      <c r="ET44" s="11"/>
      <c r="EU44" s="11"/>
      <c r="EV44" s="11"/>
      <c r="EW44" s="11"/>
      <c r="EX44" s="11"/>
      <c r="EY44" s="11"/>
      <c r="EZ44" s="11"/>
      <c r="FA44" s="11"/>
      <c r="FB44" s="11"/>
      <c r="FC44" s="11"/>
      <c r="FD44" s="11"/>
      <c r="FE44" s="11"/>
      <c r="FF44" s="11"/>
      <c r="FG44" s="11"/>
      <c r="FH44" s="11"/>
      <c r="FI44" s="11"/>
      <c r="FJ44" s="11"/>
      <c r="FK44" s="11"/>
      <c r="FL44" s="11"/>
      <c r="FM44" s="11"/>
      <c r="FN44" s="11"/>
      <c r="FO44" s="11"/>
      <c r="FP44" s="11"/>
      <c r="FQ44" s="11"/>
      <c r="FR44" s="11"/>
      <c r="FS44" s="11"/>
      <c r="FT44" s="11"/>
      <c r="FU44" s="11"/>
      <c r="FV44" s="11"/>
      <c r="FW44" s="11"/>
      <c r="FX44" s="11"/>
      <c r="FY44" s="11"/>
      <c r="FZ44" s="11"/>
      <c r="GA44" s="11"/>
      <c r="GB44" s="11"/>
      <c r="GC44" s="11"/>
      <c r="GD44" s="11"/>
      <c r="GE44" s="11"/>
      <c r="GF44" s="11"/>
      <c r="GG44" s="11"/>
      <c r="GH44" s="11"/>
      <c r="GI44" s="11"/>
      <c r="GJ44" s="11"/>
      <c r="GK44" s="11"/>
      <c r="GL44" s="11"/>
      <c r="GM44" s="11"/>
      <c r="GN44" s="11"/>
      <c r="GO44" s="11"/>
      <c r="GP44" s="11"/>
      <c r="GQ44" s="11"/>
      <c r="GR44" s="11"/>
      <c r="GS44" s="11"/>
      <c r="GT44" s="11"/>
      <c r="GU44" s="11"/>
      <c r="GV44" s="11"/>
      <c r="GW44" s="11"/>
      <c r="GX44" s="11"/>
      <c r="GY44" s="11"/>
      <c r="GZ44" s="11"/>
      <c r="HA44" s="11"/>
      <c r="HB44" s="11"/>
      <c r="HC44" s="11"/>
      <c r="HD44" s="11"/>
      <c r="HE44" s="11"/>
      <c r="HF44" s="11"/>
      <c r="HG44" s="11"/>
      <c r="HH44" s="11"/>
      <c r="HI44" s="11"/>
      <c r="HJ44" s="11"/>
      <c r="HK44" s="11"/>
      <c r="HL44" s="11"/>
      <c r="HM44" s="11"/>
      <c r="HN44" s="11"/>
      <c r="HO44" s="11"/>
      <c r="HP44" s="11"/>
      <c r="HQ44" s="11"/>
      <c r="HR44" s="11"/>
      <c r="HS44" s="11"/>
      <c r="HT44" s="11"/>
      <c r="HU44" s="11"/>
      <c r="HV44" s="11"/>
      <c r="HW44" s="11"/>
      <c r="HX44" s="11"/>
      <c r="HY44" s="11"/>
      <c r="HZ44" s="11"/>
      <c r="IA44" s="11"/>
      <c r="IB44" s="11"/>
      <c r="IC44" s="11"/>
      <c r="ID44" s="11"/>
      <c r="IE44" s="11"/>
      <c r="IF44" s="11"/>
      <c r="IG44" s="11"/>
      <c r="IH44" s="11"/>
      <c r="II44" s="11"/>
      <c r="IJ44" s="11"/>
      <c r="IK44" s="11"/>
      <c r="IL44" s="11"/>
      <c r="IM44" s="11"/>
      <c r="IN44" s="11"/>
      <c r="IO44" s="11"/>
      <c r="IP44" s="11"/>
      <c r="IQ44" s="11"/>
      <c r="IR44" s="11"/>
    </row>
    <row r="45" spans="1:252" ht="18.75" thickBot="1" x14ac:dyDescent="0.3">
      <c r="A45" s="6" t="s">
        <v>4</v>
      </c>
      <c r="B45" s="223"/>
      <c r="C45" s="181" t="s">
        <v>149</v>
      </c>
      <c r="D45" s="178">
        <v>1277162</v>
      </c>
      <c r="E45" s="178">
        <v>888370</v>
      </c>
      <c r="F45" s="178">
        <v>1347734</v>
      </c>
      <c r="G45" s="178">
        <f>1011823-83</f>
        <v>1011740</v>
      </c>
      <c r="H45" s="178">
        <f>1004072+106251</f>
        <v>1110323</v>
      </c>
      <c r="I45" s="178">
        <f>1110323-263276</f>
        <v>847047</v>
      </c>
      <c r="J45" s="178">
        <f>1027528-83.49</f>
        <v>1027444.51</v>
      </c>
      <c r="K45" s="178">
        <f>1034015+109420</f>
        <v>1143435</v>
      </c>
      <c r="L45" s="178">
        <v>1117877</v>
      </c>
      <c r="M45" s="178">
        <f>1052928+111421</f>
        <v>1164349</v>
      </c>
      <c r="N45" s="178">
        <v>1135532.2103375001</v>
      </c>
      <c r="O45" s="178">
        <v>1139156.0622187501</v>
      </c>
    </row>
    <row r="46" spans="1:252" ht="18.75" thickBot="1" x14ac:dyDescent="0.3">
      <c r="A46" s="12"/>
      <c r="B46" s="225"/>
      <c r="C46" s="184" t="s">
        <v>217</v>
      </c>
      <c r="D46" s="180">
        <f t="shared" ref="D46:M46" si="30">SUM(D37:D45)</f>
        <v>1973475.6802916171</v>
      </c>
      <c r="E46" s="180">
        <f t="shared" ref="E46" si="31">SUM(E37:E45)</f>
        <v>1574551.792806834</v>
      </c>
      <c r="F46" s="180">
        <f t="shared" si="30"/>
        <v>2035586</v>
      </c>
      <c r="G46" s="180">
        <f t="shared" ref="G46" si="32">SUM(G37:G45)</f>
        <v>1697921.792806834</v>
      </c>
      <c r="H46" s="180">
        <f t="shared" ref="H46" si="33">SUM(H37:H45)</f>
        <v>1914180.4875237197</v>
      </c>
      <c r="I46" s="180">
        <f t="shared" si="30"/>
        <v>1650904.4875237197</v>
      </c>
      <c r="J46" s="180">
        <f t="shared" ref="J46:K46" si="34">SUM(J37:J45)</f>
        <v>1713626.3028068342</v>
      </c>
      <c r="K46" s="180">
        <f t="shared" si="34"/>
        <v>1947292.4875237197</v>
      </c>
      <c r="L46" s="180">
        <f t="shared" ref="L46" si="35">SUM(L37:L45)</f>
        <v>1921734.4875237197</v>
      </c>
      <c r="M46" s="180">
        <f t="shared" si="30"/>
        <v>1968206.4875237194</v>
      </c>
      <c r="N46" s="180">
        <f t="shared" ref="N46:O46" si="36">SUM(N37:N45)</f>
        <v>1939389.6978612195</v>
      </c>
      <c r="O46" s="180">
        <f t="shared" si="36"/>
        <v>1943013.5497424696</v>
      </c>
      <c r="P46" s="144"/>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13"/>
      <c r="AR46" s="13"/>
      <c r="AS46" s="13"/>
      <c r="AT46" s="13"/>
      <c r="AU46" s="13"/>
      <c r="AV46" s="13"/>
      <c r="AW46" s="13"/>
      <c r="AX46" s="13"/>
      <c r="AY46" s="13"/>
      <c r="AZ46" s="13"/>
      <c r="BA46" s="13"/>
      <c r="BB46" s="13"/>
      <c r="BC46" s="13"/>
      <c r="BD46" s="13"/>
      <c r="BE46" s="13"/>
      <c r="BF46" s="13"/>
      <c r="BG46" s="13"/>
      <c r="BH46" s="13"/>
      <c r="BI46" s="13"/>
      <c r="BJ46" s="13"/>
      <c r="BK46" s="13"/>
      <c r="BL46" s="13"/>
      <c r="BM46" s="13"/>
      <c r="BN46" s="13"/>
      <c r="BO46" s="13"/>
      <c r="BP46" s="13"/>
      <c r="BQ46" s="13"/>
      <c r="BR46" s="13"/>
      <c r="BS46" s="13"/>
      <c r="BT46" s="13"/>
      <c r="BU46" s="13"/>
      <c r="BV46" s="13"/>
      <c r="BW46" s="13"/>
      <c r="BX46" s="13"/>
      <c r="BY46" s="13"/>
      <c r="BZ46" s="13"/>
      <c r="CA46" s="13"/>
      <c r="CB46" s="13"/>
      <c r="CC46" s="13"/>
      <c r="CD46" s="13"/>
      <c r="CE46" s="13"/>
      <c r="CF46" s="13"/>
      <c r="CG46" s="13"/>
      <c r="CH46" s="13"/>
      <c r="CI46" s="13"/>
      <c r="CJ46" s="13"/>
      <c r="CK46" s="13"/>
      <c r="CL46" s="13"/>
      <c r="CM46" s="13"/>
      <c r="CN46" s="13"/>
      <c r="CO46" s="13"/>
      <c r="CP46" s="13"/>
      <c r="CQ46" s="13"/>
      <c r="CR46" s="13"/>
      <c r="CS46" s="13"/>
      <c r="CT46" s="13"/>
      <c r="CU46" s="13"/>
      <c r="CV46" s="13"/>
      <c r="CW46" s="13"/>
      <c r="CX46" s="13"/>
      <c r="CY46" s="13"/>
      <c r="CZ46" s="13"/>
      <c r="DA46" s="13"/>
      <c r="DB46" s="13"/>
      <c r="DC46" s="13"/>
      <c r="DD46" s="13"/>
      <c r="DE46" s="13"/>
      <c r="DF46" s="13"/>
      <c r="DG46" s="13"/>
      <c r="DH46" s="13"/>
      <c r="DI46" s="13"/>
      <c r="DJ46" s="13"/>
      <c r="DK46" s="13"/>
      <c r="DL46" s="13"/>
      <c r="DM46" s="13"/>
      <c r="DN46" s="13"/>
      <c r="DO46" s="13"/>
      <c r="DP46" s="13"/>
      <c r="DQ46" s="13"/>
      <c r="DR46" s="13"/>
      <c r="DS46" s="13"/>
      <c r="DT46" s="13"/>
      <c r="DU46" s="13"/>
      <c r="DV46" s="13"/>
      <c r="DW46" s="13"/>
      <c r="DX46" s="13"/>
      <c r="DY46" s="13"/>
      <c r="DZ46" s="13"/>
      <c r="EA46" s="13"/>
      <c r="EB46" s="13"/>
      <c r="EC46" s="13"/>
      <c r="ED46" s="13"/>
      <c r="EE46" s="13"/>
      <c r="EF46" s="13"/>
      <c r="EG46" s="13"/>
      <c r="EH46" s="13"/>
      <c r="EI46" s="13"/>
      <c r="EJ46" s="13"/>
      <c r="EK46" s="13"/>
      <c r="EL46" s="13"/>
      <c r="EM46" s="13"/>
      <c r="EN46" s="13"/>
      <c r="EO46" s="13"/>
      <c r="EP46" s="13"/>
      <c r="EQ46" s="13"/>
      <c r="ER46" s="13"/>
      <c r="ES46" s="13"/>
      <c r="ET46" s="13"/>
      <c r="EU46" s="13"/>
      <c r="EV46" s="13"/>
      <c r="EW46" s="13"/>
      <c r="EX46" s="13"/>
      <c r="EY46" s="13"/>
      <c r="EZ46" s="13"/>
      <c r="FA46" s="13"/>
      <c r="FB46" s="13"/>
      <c r="FC46" s="13"/>
      <c r="FD46" s="13"/>
      <c r="FE46" s="13"/>
      <c r="FF46" s="13"/>
      <c r="FG46" s="13"/>
      <c r="FH46" s="13"/>
      <c r="FI46" s="13"/>
      <c r="FJ46" s="13"/>
      <c r="FK46" s="13"/>
      <c r="FL46" s="13"/>
      <c r="FM46" s="13"/>
      <c r="FN46" s="13"/>
      <c r="FO46" s="13"/>
      <c r="FP46" s="13"/>
      <c r="FQ46" s="13"/>
      <c r="FR46" s="13"/>
      <c r="FS46" s="13"/>
      <c r="FT46" s="13"/>
      <c r="FU46" s="13"/>
      <c r="FV46" s="13"/>
      <c r="FW46" s="13"/>
      <c r="FX46" s="13"/>
      <c r="FY46" s="13"/>
      <c r="FZ46" s="13"/>
      <c r="GA46" s="13"/>
      <c r="GB46" s="13"/>
      <c r="GC46" s="13"/>
      <c r="GD46" s="13"/>
      <c r="GE46" s="13"/>
      <c r="GF46" s="13"/>
      <c r="GG46" s="13"/>
      <c r="GH46" s="13"/>
      <c r="GI46" s="13"/>
      <c r="GJ46" s="13"/>
      <c r="GK46" s="13"/>
      <c r="GL46" s="13"/>
      <c r="GM46" s="13"/>
      <c r="GN46" s="13"/>
      <c r="GO46" s="13"/>
      <c r="GP46" s="13"/>
      <c r="GQ46" s="13"/>
      <c r="GR46" s="13"/>
      <c r="GS46" s="13"/>
      <c r="GT46" s="13"/>
      <c r="GU46" s="13"/>
      <c r="GV46" s="13"/>
      <c r="GW46" s="13"/>
      <c r="GX46" s="13"/>
      <c r="GY46" s="13"/>
      <c r="GZ46" s="13"/>
      <c r="HA46" s="13"/>
      <c r="HB46" s="13"/>
      <c r="HC46" s="13"/>
      <c r="HD46" s="13"/>
      <c r="HE46" s="13"/>
      <c r="HF46" s="13"/>
      <c r="HG46" s="13"/>
      <c r="HH46" s="13"/>
      <c r="HI46" s="13"/>
      <c r="HJ46" s="13"/>
      <c r="HK46" s="13"/>
      <c r="HL46" s="13"/>
      <c r="HM46" s="13"/>
      <c r="HN46" s="13"/>
      <c r="HO46" s="13"/>
      <c r="HP46" s="13"/>
      <c r="HQ46" s="13"/>
      <c r="HR46" s="13"/>
      <c r="HS46" s="13"/>
      <c r="HT46" s="13"/>
      <c r="HU46" s="13"/>
      <c r="HV46" s="13"/>
      <c r="HW46" s="13"/>
      <c r="HX46" s="13"/>
      <c r="HY46" s="13"/>
      <c r="HZ46" s="13"/>
      <c r="IA46" s="13"/>
      <c r="IB46" s="13"/>
      <c r="IC46" s="13"/>
      <c r="ID46" s="13"/>
      <c r="IE46" s="13"/>
      <c r="IF46" s="13"/>
      <c r="IG46" s="13"/>
      <c r="IH46" s="13"/>
      <c r="II46" s="13"/>
      <c r="IJ46" s="13"/>
      <c r="IK46" s="13"/>
      <c r="IL46" s="13"/>
      <c r="IM46" s="13"/>
      <c r="IN46" s="13"/>
      <c r="IO46" s="13"/>
      <c r="IP46" s="13"/>
      <c r="IQ46" s="13"/>
      <c r="IR46" s="13"/>
    </row>
    <row r="47" spans="1:252" ht="18.75" hidden="1" thickBot="1" x14ac:dyDescent="0.3">
      <c r="A47" s="15"/>
      <c r="B47" s="228"/>
      <c r="C47" s="231" t="s">
        <v>6</v>
      </c>
      <c r="D47" s="232">
        <f>D18+D28*0.5+D26*0.8+D29*0.8+D32+D38*0.8+D27*0.5</f>
        <v>12610385.791000001</v>
      </c>
      <c r="E47" s="232">
        <f t="shared" ref="E47" si="37">E18+E28*0.5+E26*0.8+E29*0.8+E32+E38*0.8+E27*0.5</f>
        <v>10144288.120274803</v>
      </c>
      <c r="F47" s="232">
        <f t="shared" ref="F47:M47" si="38">F18+F28*0.5+F26*0.8+F29*0.8+F32+F38*0.8+F27*0.5</f>
        <v>16243083.208999997</v>
      </c>
      <c r="G47" s="232">
        <f t="shared" si="38"/>
        <v>11067731.120274803</v>
      </c>
      <c r="H47" s="232">
        <f t="shared" ref="H47" si="39">H18+H28*0.5+H26*0.8+H29*0.8+H32+H38*0.8+H27*0.5</f>
        <v>11910849.182915449</v>
      </c>
      <c r="I47" s="232">
        <f t="shared" si="38"/>
        <v>9804638.1829154491</v>
      </c>
      <c r="J47" s="232">
        <f t="shared" si="38"/>
        <v>11242973.610274803</v>
      </c>
      <c r="K47" s="232">
        <f t="shared" si="38"/>
        <v>12258180.672915449</v>
      </c>
      <c r="L47" s="232">
        <f t="shared" ref="L47" si="40">L18+L28*0.5+L26*0.8+L29*0.8+L32+L38*0.8+L27*0.5</f>
        <v>11997014.672915449</v>
      </c>
      <c r="M47" s="232">
        <f t="shared" si="38"/>
        <v>12674258.672915449</v>
      </c>
      <c r="N47" s="232">
        <f t="shared" ref="N47:O47" si="41">N18+N28*0.5+N26*0.8+N29*0.8+N32+N38*0.8+N27*0.5</f>
        <v>12347922.471492307</v>
      </c>
      <c r="O47" s="232">
        <f t="shared" si="41"/>
        <v>12420396.196314415</v>
      </c>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c r="AV47" s="16"/>
      <c r="AW47" s="16"/>
      <c r="AX47" s="16"/>
      <c r="AY47" s="16"/>
      <c r="AZ47" s="16"/>
      <c r="BA47" s="16"/>
      <c r="BB47" s="16"/>
      <c r="BC47" s="16"/>
      <c r="BD47" s="16"/>
      <c r="BE47" s="16"/>
      <c r="BF47" s="16"/>
      <c r="BG47" s="16"/>
      <c r="BH47" s="16"/>
      <c r="BI47" s="16"/>
      <c r="BJ47" s="16"/>
      <c r="BK47" s="16"/>
      <c r="BL47" s="16"/>
      <c r="BM47" s="16"/>
      <c r="BN47" s="16"/>
      <c r="BO47" s="16"/>
      <c r="BP47" s="16"/>
      <c r="BQ47" s="16"/>
      <c r="BR47" s="16"/>
      <c r="BS47" s="16"/>
      <c r="BT47" s="16"/>
      <c r="BU47" s="16"/>
      <c r="BV47" s="16"/>
      <c r="BW47" s="16"/>
      <c r="BX47" s="16"/>
      <c r="BY47" s="16"/>
      <c r="BZ47" s="16"/>
      <c r="CA47" s="16"/>
      <c r="CB47" s="16"/>
      <c r="CC47" s="16"/>
      <c r="CD47" s="16"/>
      <c r="CE47" s="16"/>
      <c r="CF47" s="16"/>
      <c r="CG47" s="16"/>
      <c r="CH47" s="16"/>
      <c r="CI47" s="16"/>
      <c r="CJ47" s="16"/>
      <c r="CK47" s="16"/>
      <c r="CL47" s="16"/>
      <c r="CM47" s="16"/>
      <c r="CN47" s="16"/>
      <c r="CO47" s="16"/>
      <c r="CP47" s="16"/>
      <c r="CQ47" s="16"/>
      <c r="CR47" s="16"/>
      <c r="CS47" s="16"/>
      <c r="CT47" s="16"/>
      <c r="CU47" s="16"/>
      <c r="CV47" s="16"/>
      <c r="CW47" s="16"/>
      <c r="CX47" s="16"/>
      <c r="CY47" s="16"/>
      <c r="CZ47" s="16"/>
      <c r="DA47" s="16"/>
      <c r="DB47" s="16"/>
      <c r="DC47" s="16"/>
      <c r="DD47" s="16"/>
      <c r="DE47" s="16"/>
      <c r="DF47" s="16"/>
      <c r="DG47" s="16"/>
      <c r="DH47" s="16"/>
      <c r="DI47" s="16"/>
      <c r="DJ47" s="16"/>
      <c r="DK47" s="16"/>
      <c r="DL47" s="16"/>
      <c r="DM47" s="16"/>
      <c r="DN47" s="16"/>
      <c r="DO47" s="16"/>
      <c r="DP47" s="16"/>
      <c r="DQ47" s="16"/>
      <c r="DR47" s="16"/>
      <c r="DS47" s="16"/>
      <c r="DT47" s="16"/>
      <c r="DU47" s="16"/>
      <c r="DV47" s="16"/>
      <c r="DW47" s="16"/>
      <c r="DX47" s="16"/>
      <c r="DY47" s="16"/>
      <c r="DZ47" s="16"/>
      <c r="EA47" s="16"/>
      <c r="EB47" s="16"/>
      <c r="EC47" s="16"/>
      <c r="ED47" s="16"/>
      <c r="EE47" s="16"/>
      <c r="EF47" s="16"/>
      <c r="EG47" s="16"/>
      <c r="EH47" s="16"/>
      <c r="EI47" s="16"/>
      <c r="EJ47" s="16"/>
      <c r="EK47" s="16"/>
      <c r="EL47" s="16"/>
      <c r="EM47" s="16"/>
      <c r="EN47" s="16"/>
      <c r="EO47" s="16"/>
      <c r="EP47" s="16"/>
      <c r="EQ47" s="16"/>
      <c r="ER47" s="16"/>
      <c r="ES47" s="16"/>
      <c r="ET47" s="16"/>
      <c r="EU47" s="16"/>
      <c r="EV47" s="16"/>
      <c r="EW47" s="16"/>
      <c r="EX47" s="16"/>
      <c r="EY47" s="16"/>
      <c r="EZ47" s="16"/>
      <c r="FA47" s="16"/>
      <c r="FB47" s="16"/>
      <c r="FC47" s="16"/>
      <c r="FD47" s="16"/>
      <c r="FE47" s="16"/>
      <c r="FF47" s="16"/>
      <c r="FG47" s="16"/>
      <c r="FH47" s="16"/>
      <c r="FI47" s="16"/>
      <c r="FJ47" s="16"/>
      <c r="FK47" s="16"/>
      <c r="FL47" s="16"/>
      <c r="FM47" s="16"/>
      <c r="FN47" s="16"/>
      <c r="FO47" s="16"/>
      <c r="FP47" s="16"/>
      <c r="FQ47" s="16"/>
      <c r="FR47" s="16"/>
      <c r="FS47" s="16"/>
      <c r="FT47" s="16"/>
      <c r="FU47" s="16"/>
      <c r="FV47" s="16"/>
      <c r="FW47" s="16"/>
      <c r="FX47" s="16"/>
      <c r="FY47" s="16"/>
      <c r="FZ47" s="16"/>
      <c r="GA47" s="16"/>
      <c r="GB47" s="16"/>
      <c r="GC47" s="16"/>
      <c r="GD47" s="16"/>
      <c r="GE47" s="16"/>
      <c r="GF47" s="16"/>
      <c r="GG47" s="16"/>
      <c r="GH47" s="16"/>
      <c r="GI47" s="16"/>
      <c r="GJ47" s="16"/>
      <c r="GK47" s="16"/>
      <c r="GL47" s="16"/>
      <c r="GM47" s="16"/>
      <c r="GN47" s="16"/>
      <c r="GO47" s="16"/>
      <c r="GP47" s="16"/>
      <c r="GQ47" s="16"/>
      <c r="GR47" s="16"/>
      <c r="GS47" s="16"/>
      <c r="GT47" s="16"/>
      <c r="GU47" s="16"/>
      <c r="GV47" s="16"/>
      <c r="GW47" s="16"/>
      <c r="GX47" s="16"/>
      <c r="GY47" s="16"/>
      <c r="GZ47" s="16"/>
      <c r="HA47" s="16"/>
      <c r="HB47" s="16"/>
      <c r="HC47" s="16"/>
      <c r="HD47" s="16"/>
      <c r="HE47" s="16"/>
      <c r="HF47" s="16"/>
      <c r="HG47" s="16"/>
      <c r="HH47" s="16"/>
      <c r="HI47" s="16"/>
      <c r="HJ47" s="16"/>
      <c r="HK47" s="16"/>
      <c r="HL47" s="16"/>
      <c r="HM47" s="16"/>
      <c r="HN47" s="16"/>
      <c r="HO47" s="16"/>
      <c r="HP47" s="16"/>
      <c r="HQ47" s="16"/>
      <c r="HR47" s="16"/>
      <c r="HS47" s="16"/>
      <c r="HT47" s="16"/>
      <c r="HU47" s="16"/>
      <c r="HV47" s="16"/>
      <c r="HW47" s="16"/>
      <c r="HX47" s="16"/>
      <c r="HY47" s="16"/>
      <c r="HZ47" s="16"/>
      <c r="IA47" s="16"/>
      <c r="IB47" s="16"/>
      <c r="IC47" s="16"/>
      <c r="ID47" s="16"/>
      <c r="IE47" s="16"/>
      <c r="IF47" s="16"/>
      <c r="IG47" s="16"/>
      <c r="IH47" s="16"/>
      <c r="II47" s="16"/>
      <c r="IJ47" s="16"/>
      <c r="IK47" s="16"/>
      <c r="IL47" s="16"/>
      <c r="IM47" s="16"/>
      <c r="IN47" s="16"/>
      <c r="IO47" s="16"/>
      <c r="IP47" s="16"/>
      <c r="IQ47" s="16"/>
      <c r="IR47" s="16"/>
    </row>
    <row r="48" spans="1:252" ht="18.75" hidden="1" thickBot="1" x14ac:dyDescent="0.3">
      <c r="A48" s="15"/>
      <c r="B48" s="228"/>
      <c r="C48" s="233" t="s">
        <v>7</v>
      </c>
      <c r="D48" s="234">
        <f>D24+D28*0.5+D26*0.2+D27*0.5+D29*0.2+D33+D38*0.2</f>
        <v>7750723.7590000005</v>
      </c>
      <c r="E48" s="234">
        <f t="shared" ref="E48" si="42">E24+E28*0.5+E26*0.2+E27*0.5+E29*0.2+E33+E38*0.2</f>
        <v>8976447.4845054634</v>
      </c>
      <c r="F48" s="234">
        <f t="shared" ref="F48:M48" si="43">F24+F28*0.5+F26*0.2+F27*0.5+F29*0.2+F33+F38*0.2</f>
        <v>5243167.0109999999</v>
      </c>
      <c r="G48" s="234">
        <f t="shared" si="43"/>
        <v>10794552.41950546</v>
      </c>
      <c r="H48" s="234">
        <f t="shared" ref="H48" si="44">H24+H28*0.5+H26*0.2+H27*0.5+H29*0.2+H33+H38*0.2</f>
        <v>9574803.721415624</v>
      </c>
      <c r="I48" s="234">
        <f t="shared" si="43"/>
        <v>6415488.7214156222</v>
      </c>
      <c r="J48" s="234">
        <f t="shared" si="43"/>
        <v>10968309.48950546</v>
      </c>
      <c r="K48" s="234">
        <f t="shared" si="43"/>
        <v>9802204.2114156242</v>
      </c>
      <c r="L48" s="234">
        <f t="shared" ref="L48" si="45">L24+L28*0.5+L26*0.2+L27*0.5+L29*0.2+L33+L38*0.2</f>
        <v>9639704.2114156242</v>
      </c>
      <c r="M48" s="234">
        <f t="shared" si="43"/>
        <v>9891905.2114156242</v>
      </c>
      <c r="N48" s="234">
        <f t="shared" ref="N48:O48" si="46">N24+N28*0.5+N26*0.2+N27*0.5+N29*0.2+N33+N38*0.2</f>
        <v>9641905.2114156242</v>
      </c>
      <c r="O48" s="234">
        <f t="shared" si="46"/>
        <v>9641905.2114156242</v>
      </c>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c r="AY48" s="16"/>
      <c r="AZ48" s="16"/>
      <c r="BA48" s="16"/>
      <c r="BB48" s="16"/>
      <c r="BC48" s="16"/>
      <c r="BD48" s="16"/>
      <c r="BE48" s="16"/>
      <c r="BF48" s="16"/>
      <c r="BG48" s="16"/>
      <c r="BH48" s="16"/>
      <c r="BI48" s="16"/>
      <c r="BJ48" s="16"/>
      <c r="BK48" s="16"/>
      <c r="BL48" s="16"/>
      <c r="BM48" s="16"/>
      <c r="BN48" s="16"/>
      <c r="BO48" s="16"/>
      <c r="BP48" s="16"/>
      <c r="BQ48" s="16"/>
      <c r="BR48" s="16"/>
      <c r="BS48" s="16"/>
      <c r="BT48" s="16"/>
      <c r="BU48" s="16"/>
      <c r="BV48" s="16"/>
      <c r="BW48" s="16"/>
      <c r="BX48" s="16"/>
      <c r="BY48" s="16"/>
      <c r="BZ48" s="16"/>
      <c r="CA48" s="16"/>
      <c r="CB48" s="16"/>
      <c r="CC48" s="16"/>
      <c r="CD48" s="16"/>
      <c r="CE48" s="16"/>
      <c r="CF48" s="16"/>
      <c r="CG48" s="16"/>
      <c r="CH48" s="16"/>
      <c r="CI48" s="16"/>
      <c r="CJ48" s="16"/>
      <c r="CK48" s="16"/>
      <c r="CL48" s="16"/>
      <c r="CM48" s="16"/>
      <c r="CN48" s="16"/>
      <c r="CO48" s="16"/>
      <c r="CP48" s="16"/>
      <c r="CQ48" s="16"/>
      <c r="CR48" s="16"/>
      <c r="CS48" s="16"/>
      <c r="CT48" s="16"/>
      <c r="CU48" s="16"/>
      <c r="CV48" s="16"/>
      <c r="CW48" s="16"/>
      <c r="CX48" s="16"/>
      <c r="CY48" s="16"/>
      <c r="CZ48" s="16"/>
      <c r="DA48" s="16"/>
      <c r="DB48" s="16"/>
      <c r="DC48" s="16"/>
      <c r="DD48" s="16"/>
      <c r="DE48" s="16"/>
      <c r="DF48" s="16"/>
      <c r="DG48" s="16"/>
      <c r="DH48" s="16"/>
      <c r="DI48" s="16"/>
      <c r="DJ48" s="16"/>
      <c r="DK48" s="16"/>
      <c r="DL48" s="16"/>
      <c r="DM48" s="16"/>
      <c r="DN48" s="16"/>
      <c r="DO48" s="16"/>
      <c r="DP48" s="16"/>
      <c r="DQ48" s="16"/>
      <c r="DR48" s="16"/>
      <c r="DS48" s="16"/>
      <c r="DT48" s="16"/>
      <c r="DU48" s="16"/>
      <c r="DV48" s="16"/>
      <c r="DW48" s="16"/>
      <c r="DX48" s="16"/>
      <c r="DY48" s="16"/>
      <c r="DZ48" s="16"/>
      <c r="EA48" s="16"/>
      <c r="EB48" s="16"/>
      <c r="EC48" s="16"/>
      <c r="ED48" s="16"/>
      <c r="EE48" s="16"/>
      <c r="EF48" s="16"/>
      <c r="EG48" s="16"/>
      <c r="EH48" s="16"/>
      <c r="EI48" s="16"/>
      <c r="EJ48" s="16"/>
      <c r="EK48" s="16"/>
      <c r="EL48" s="16"/>
      <c r="EM48" s="16"/>
      <c r="EN48" s="16"/>
      <c r="EO48" s="16"/>
      <c r="EP48" s="16"/>
      <c r="EQ48" s="16"/>
      <c r="ER48" s="16"/>
      <c r="ES48" s="16"/>
      <c r="ET48" s="16"/>
      <c r="EU48" s="16"/>
      <c r="EV48" s="16"/>
      <c r="EW48" s="16"/>
      <c r="EX48" s="16"/>
      <c r="EY48" s="16"/>
      <c r="EZ48" s="16"/>
      <c r="FA48" s="16"/>
      <c r="FB48" s="16"/>
      <c r="FC48" s="16"/>
      <c r="FD48" s="16"/>
      <c r="FE48" s="16"/>
      <c r="FF48" s="16"/>
      <c r="FG48" s="16"/>
      <c r="FH48" s="16"/>
      <c r="FI48" s="16"/>
      <c r="FJ48" s="16"/>
      <c r="FK48" s="16"/>
      <c r="FL48" s="16"/>
      <c r="FM48" s="16"/>
      <c r="FN48" s="16"/>
      <c r="FO48" s="16"/>
      <c r="FP48" s="16"/>
      <c r="FQ48" s="16"/>
      <c r="FR48" s="16"/>
      <c r="FS48" s="16"/>
      <c r="FT48" s="16"/>
      <c r="FU48" s="16"/>
      <c r="FV48" s="16"/>
      <c r="FW48" s="16"/>
      <c r="FX48" s="16"/>
      <c r="FY48" s="16"/>
      <c r="FZ48" s="16"/>
      <c r="GA48" s="16"/>
      <c r="GB48" s="16"/>
      <c r="GC48" s="16"/>
      <c r="GD48" s="16"/>
      <c r="GE48" s="16"/>
      <c r="GF48" s="16"/>
      <c r="GG48" s="16"/>
      <c r="GH48" s="16"/>
      <c r="GI48" s="16"/>
      <c r="GJ48" s="16"/>
      <c r="GK48" s="16"/>
      <c r="GL48" s="16"/>
      <c r="GM48" s="16"/>
      <c r="GN48" s="16"/>
      <c r="GO48" s="16"/>
      <c r="GP48" s="16"/>
      <c r="GQ48" s="16"/>
      <c r="GR48" s="16"/>
      <c r="GS48" s="16"/>
      <c r="GT48" s="16"/>
      <c r="GU48" s="16"/>
      <c r="GV48" s="16"/>
      <c r="GW48" s="16"/>
      <c r="GX48" s="16"/>
      <c r="GY48" s="16"/>
      <c r="GZ48" s="16"/>
      <c r="HA48" s="16"/>
      <c r="HB48" s="16"/>
      <c r="HC48" s="16"/>
      <c r="HD48" s="16"/>
      <c r="HE48" s="16"/>
      <c r="HF48" s="16"/>
      <c r="HG48" s="16"/>
      <c r="HH48" s="16"/>
      <c r="HI48" s="16"/>
      <c r="HJ48" s="16"/>
      <c r="HK48" s="16"/>
      <c r="HL48" s="16"/>
      <c r="HM48" s="16"/>
      <c r="HN48" s="16"/>
      <c r="HO48" s="16"/>
      <c r="HP48" s="16"/>
      <c r="HQ48" s="16"/>
      <c r="HR48" s="16"/>
      <c r="HS48" s="16"/>
      <c r="HT48" s="16"/>
      <c r="HU48" s="16"/>
      <c r="HV48" s="16"/>
      <c r="HW48" s="16"/>
      <c r="HX48" s="16"/>
      <c r="HY48" s="16"/>
      <c r="HZ48" s="16"/>
      <c r="IA48" s="16"/>
      <c r="IB48" s="16"/>
      <c r="IC48" s="16"/>
      <c r="ID48" s="16"/>
      <c r="IE48" s="16"/>
      <c r="IF48" s="16"/>
      <c r="IG48" s="16"/>
      <c r="IH48" s="16"/>
      <c r="II48" s="16"/>
      <c r="IJ48" s="16"/>
      <c r="IK48" s="16"/>
      <c r="IL48" s="16"/>
      <c r="IM48" s="16"/>
      <c r="IN48" s="16"/>
      <c r="IO48" s="16"/>
      <c r="IP48" s="16"/>
      <c r="IQ48" s="16"/>
      <c r="IR48" s="16"/>
    </row>
    <row r="49" spans="1:252" ht="18.75" hidden="1" thickBot="1" x14ac:dyDescent="0.3">
      <c r="A49" s="8"/>
      <c r="B49" s="223"/>
      <c r="C49" s="235" t="s">
        <v>18</v>
      </c>
      <c r="D49" s="236">
        <f t="shared" ref="D49:M49" si="47">D34+D37+SUM(D39:D45)</f>
        <v>1953688.6802916171</v>
      </c>
      <c r="E49" s="236">
        <f t="shared" ref="E49" si="48">E34+E37+SUM(E39:E45)</f>
        <v>1584451.3948106018</v>
      </c>
      <c r="F49" s="236">
        <f t="shared" si="47"/>
        <v>1981382</v>
      </c>
      <c r="G49" s="236">
        <f>G34+G37+SUM(G39:G45)</f>
        <v>1707821.3948106018</v>
      </c>
      <c r="H49" s="236">
        <f>H34+H37+SUM(H39:H45)</f>
        <v>1924080.0895274873</v>
      </c>
      <c r="I49" s="236">
        <f>I34+I37+SUM(I39:I45)</f>
        <v>1660804.0895274873</v>
      </c>
      <c r="J49" s="236">
        <f t="shared" ref="J49:K49" si="49">J34+J37+SUM(J39:J45)</f>
        <v>1723525.9048106016</v>
      </c>
      <c r="K49" s="236">
        <f t="shared" si="49"/>
        <v>1957192.0895274873</v>
      </c>
      <c r="L49" s="236">
        <f t="shared" ref="L49" si="50">L34+L37+SUM(L39:L45)</f>
        <v>1931634.0895274873</v>
      </c>
      <c r="M49" s="236">
        <f t="shared" si="47"/>
        <v>1978106.0895274871</v>
      </c>
      <c r="N49" s="236">
        <f t="shared" ref="N49:O49" si="51">N34+N37+SUM(N39:N45)</f>
        <v>1949289.2998649871</v>
      </c>
      <c r="O49" s="236">
        <f t="shared" si="51"/>
        <v>1952913.1517462372</v>
      </c>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c r="AY49" s="16"/>
      <c r="AZ49" s="16"/>
      <c r="BA49" s="16"/>
      <c r="BB49" s="16"/>
      <c r="BC49" s="16"/>
      <c r="BD49" s="16"/>
      <c r="BE49" s="16"/>
      <c r="BF49" s="16"/>
      <c r="BG49" s="16"/>
      <c r="BH49" s="16"/>
      <c r="BI49" s="16"/>
      <c r="BJ49" s="16"/>
      <c r="BK49" s="16"/>
      <c r="BL49" s="16"/>
      <c r="BM49" s="16"/>
      <c r="BN49" s="16"/>
      <c r="BO49" s="16"/>
      <c r="BP49" s="16"/>
      <c r="BQ49" s="16"/>
      <c r="BR49" s="16"/>
      <c r="BS49" s="16"/>
      <c r="BT49" s="16"/>
      <c r="BU49" s="16"/>
      <c r="BV49" s="16"/>
      <c r="BW49" s="16"/>
      <c r="BX49" s="16"/>
      <c r="BY49" s="16"/>
      <c r="BZ49" s="16"/>
      <c r="CA49" s="16"/>
      <c r="CB49" s="16"/>
      <c r="CC49" s="16"/>
      <c r="CD49" s="16"/>
      <c r="CE49" s="16"/>
      <c r="CF49" s="16"/>
      <c r="CG49" s="16"/>
      <c r="CH49" s="16"/>
      <c r="CI49" s="16"/>
      <c r="CJ49" s="16"/>
      <c r="CK49" s="16"/>
      <c r="CL49" s="16"/>
      <c r="CM49" s="16"/>
      <c r="CN49" s="16"/>
      <c r="CO49" s="16"/>
      <c r="CP49" s="16"/>
      <c r="CQ49" s="16"/>
      <c r="CR49" s="16"/>
      <c r="CS49" s="16"/>
      <c r="CT49" s="16"/>
      <c r="CU49" s="16"/>
      <c r="CV49" s="16"/>
      <c r="CW49" s="16"/>
      <c r="CX49" s="16"/>
      <c r="CY49" s="16"/>
      <c r="CZ49" s="16"/>
      <c r="DA49" s="16"/>
      <c r="DB49" s="16"/>
      <c r="DC49" s="16"/>
      <c r="DD49" s="16"/>
      <c r="DE49" s="16"/>
      <c r="DF49" s="16"/>
      <c r="DG49" s="16"/>
      <c r="DH49" s="16"/>
      <c r="DI49" s="16"/>
      <c r="DJ49" s="16"/>
      <c r="DK49" s="16"/>
      <c r="DL49" s="16"/>
      <c r="DM49" s="16"/>
      <c r="DN49" s="16"/>
      <c r="DO49" s="16"/>
      <c r="DP49" s="16"/>
      <c r="DQ49" s="16"/>
      <c r="DR49" s="16"/>
      <c r="DS49" s="16"/>
      <c r="DT49" s="16"/>
      <c r="DU49" s="16"/>
      <c r="DV49" s="16"/>
      <c r="DW49" s="16"/>
      <c r="DX49" s="16"/>
      <c r="DY49" s="16"/>
      <c r="DZ49" s="16"/>
      <c r="EA49" s="16"/>
      <c r="EB49" s="16"/>
      <c r="EC49" s="16"/>
      <c r="ED49" s="16"/>
      <c r="EE49" s="16"/>
      <c r="EF49" s="16"/>
      <c r="EG49" s="16"/>
      <c r="EH49" s="16"/>
      <c r="EI49" s="16"/>
      <c r="EJ49" s="16"/>
      <c r="EK49" s="16"/>
      <c r="EL49" s="16"/>
      <c r="EM49" s="16"/>
      <c r="EN49" s="16"/>
      <c r="EO49" s="16"/>
      <c r="EP49" s="16"/>
      <c r="EQ49" s="16"/>
      <c r="ER49" s="16"/>
      <c r="ES49" s="16"/>
      <c r="ET49" s="16"/>
      <c r="EU49" s="16"/>
      <c r="EV49" s="16"/>
      <c r="EW49" s="16"/>
      <c r="EX49" s="16"/>
      <c r="EY49" s="16"/>
      <c r="EZ49" s="16"/>
      <c r="FA49" s="16"/>
      <c r="FB49" s="16"/>
      <c r="FC49" s="16"/>
      <c r="FD49" s="16"/>
      <c r="FE49" s="16"/>
      <c r="FF49" s="16"/>
      <c r="FG49" s="16"/>
      <c r="FH49" s="16"/>
      <c r="FI49" s="16"/>
      <c r="FJ49" s="16"/>
      <c r="FK49" s="16"/>
      <c r="FL49" s="16"/>
      <c r="FM49" s="16"/>
      <c r="FN49" s="16"/>
      <c r="FO49" s="16"/>
      <c r="FP49" s="16"/>
      <c r="FQ49" s="16"/>
      <c r="FR49" s="16"/>
      <c r="FS49" s="16"/>
      <c r="FT49" s="16"/>
      <c r="FU49" s="16"/>
      <c r="FV49" s="16"/>
      <c r="FW49" s="16"/>
      <c r="FX49" s="16"/>
      <c r="FY49" s="16"/>
      <c r="FZ49" s="16"/>
      <c r="GA49" s="16"/>
      <c r="GB49" s="16"/>
      <c r="GC49" s="16"/>
      <c r="GD49" s="16"/>
      <c r="GE49" s="16"/>
      <c r="GF49" s="16"/>
      <c r="GG49" s="16"/>
      <c r="GH49" s="16"/>
      <c r="GI49" s="16"/>
      <c r="GJ49" s="16"/>
      <c r="GK49" s="16"/>
      <c r="GL49" s="16"/>
      <c r="GM49" s="16"/>
      <c r="GN49" s="16"/>
      <c r="GO49" s="16"/>
      <c r="GP49" s="16"/>
      <c r="GQ49" s="16"/>
      <c r="GR49" s="16"/>
      <c r="GS49" s="16"/>
      <c r="GT49" s="16"/>
      <c r="GU49" s="16"/>
      <c r="GV49" s="16"/>
      <c r="GW49" s="16"/>
      <c r="GX49" s="16"/>
      <c r="GY49" s="16"/>
      <c r="GZ49" s="16"/>
      <c r="HA49" s="16"/>
      <c r="HB49" s="16"/>
      <c r="HC49" s="16"/>
      <c r="HD49" s="16"/>
      <c r="HE49" s="16"/>
      <c r="HF49" s="16"/>
      <c r="HG49" s="16"/>
      <c r="HH49" s="16"/>
      <c r="HI49" s="16"/>
      <c r="HJ49" s="16"/>
      <c r="HK49" s="16"/>
      <c r="HL49" s="16"/>
      <c r="HM49" s="16"/>
      <c r="HN49" s="16"/>
      <c r="HO49" s="16"/>
      <c r="HP49" s="16"/>
      <c r="HQ49" s="16"/>
      <c r="HR49" s="16"/>
      <c r="HS49" s="16"/>
      <c r="HT49" s="16"/>
      <c r="HU49" s="16"/>
      <c r="HV49" s="16"/>
      <c r="HW49" s="16"/>
      <c r="HX49" s="16"/>
      <c r="HY49" s="16"/>
      <c r="HZ49" s="16"/>
      <c r="IA49" s="16"/>
      <c r="IB49" s="16"/>
      <c r="IC49" s="16"/>
      <c r="ID49" s="16"/>
      <c r="IE49" s="16"/>
      <c r="IF49" s="16"/>
      <c r="IG49" s="16"/>
      <c r="IH49" s="16"/>
      <c r="II49" s="16"/>
      <c r="IJ49" s="16"/>
      <c r="IK49" s="16"/>
      <c r="IL49" s="16"/>
      <c r="IM49" s="16"/>
      <c r="IN49" s="16"/>
      <c r="IO49" s="16"/>
      <c r="IP49" s="16"/>
      <c r="IQ49" s="16"/>
      <c r="IR49" s="16"/>
    </row>
    <row r="50" spans="1:252" ht="18.75" thickBot="1" x14ac:dyDescent="0.3">
      <c r="A50" s="8"/>
      <c r="B50" s="223"/>
      <c r="C50" s="237" t="s">
        <v>19</v>
      </c>
      <c r="D50" s="238">
        <f t="shared" ref="D50" si="52">SUM(D47:D49)</f>
        <v>22314798.230291616</v>
      </c>
      <c r="E50" s="238">
        <f t="shared" ref="E50" si="53">SUM(E47:E49)</f>
        <v>20705186.999590866</v>
      </c>
      <c r="F50" s="238">
        <f t="shared" ref="F50:M50" si="54">SUM(F47:F49)</f>
        <v>23467632.219999999</v>
      </c>
      <c r="G50" s="238">
        <f t="shared" ref="G50:H50" si="55">SUM(G47:G49)</f>
        <v>23570104.934590865</v>
      </c>
      <c r="H50" s="238">
        <f t="shared" si="55"/>
        <v>23409732.993858561</v>
      </c>
      <c r="I50" s="238">
        <f t="shared" si="54"/>
        <v>17880930.993858557</v>
      </c>
      <c r="J50" s="238">
        <f t="shared" ref="J50:K50" si="56">SUM(J47:J49)</f>
        <v>23934809.004590861</v>
      </c>
      <c r="K50" s="238">
        <f t="shared" si="56"/>
        <v>24017576.973858561</v>
      </c>
      <c r="L50" s="238">
        <f t="shared" ref="L50" si="57">SUM(L47:L49)</f>
        <v>23568352.973858561</v>
      </c>
      <c r="M50" s="238">
        <f t="shared" si="54"/>
        <v>24544269.973858561</v>
      </c>
      <c r="N50" s="238">
        <f t="shared" ref="N50:O50" si="58">SUM(N47:N49)</f>
        <v>23939116.98277292</v>
      </c>
      <c r="O50" s="238">
        <f t="shared" si="58"/>
        <v>24015214.559476275</v>
      </c>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c r="AQ50" s="13"/>
      <c r="AR50" s="13"/>
      <c r="AS50" s="13"/>
      <c r="AT50" s="13"/>
      <c r="AU50" s="13"/>
      <c r="AV50" s="13"/>
      <c r="AW50" s="13"/>
      <c r="AX50" s="13"/>
      <c r="AY50" s="13"/>
      <c r="AZ50" s="13"/>
      <c r="BA50" s="13"/>
      <c r="BB50" s="13"/>
      <c r="BC50" s="13"/>
      <c r="BD50" s="13"/>
      <c r="BE50" s="13"/>
      <c r="BF50" s="13"/>
      <c r="BG50" s="13"/>
      <c r="BH50" s="13"/>
      <c r="BI50" s="13"/>
      <c r="BJ50" s="13"/>
      <c r="BK50" s="13"/>
      <c r="BL50" s="13"/>
      <c r="BM50" s="13"/>
      <c r="BN50" s="13"/>
      <c r="BO50" s="13"/>
      <c r="BP50" s="13"/>
      <c r="BQ50" s="13"/>
      <c r="BR50" s="13"/>
      <c r="BS50" s="13"/>
      <c r="BT50" s="13"/>
      <c r="BU50" s="13"/>
      <c r="BV50" s="13"/>
      <c r="BW50" s="13"/>
      <c r="BX50" s="13"/>
      <c r="BY50" s="13"/>
      <c r="BZ50" s="13"/>
      <c r="CA50" s="13"/>
      <c r="CB50" s="13"/>
      <c r="CC50" s="13"/>
      <c r="CD50" s="13"/>
      <c r="CE50" s="13"/>
      <c r="CF50" s="13"/>
      <c r="CG50" s="13"/>
      <c r="CH50" s="13"/>
      <c r="CI50" s="13"/>
      <c r="CJ50" s="13"/>
      <c r="CK50" s="13"/>
      <c r="CL50" s="13"/>
      <c r="CM50" s="13"/>
      <c r="CN50" s="13"/>
      <c r="CO50" s="13"/>
      <c r="CP50" s="13"/>
      <c r="CQ50" s="13"/>
      <c r="CR50" s="13"/>
      <c r="CS50" s="13"/>
      <c r="CT50" s="13"/>
      <c r="CU50" s="13"/>
      <c r="CV50" s="13"/>
      <c r="CW50" s="13"/>
      <c r="CX50" s="13"/>
      <c r="CY50" s="13"/>
      <c r="CZ50" s="13"/>
      <c r="DA50" s="13"/>
      <c r="DB50" s="13"/>
      <c r="DC50" s="13"/>
      <c r="DD50" s="13"/>
      <c r="DE50" s="13"/>
      <c r="DF50" s="13"/>
      <c r="DG50" s="13"/>
      <c r="DH50" s="13"/>
      <c r="DI50" s="13"/>
      <c r="DJ50" s="13"/>
      <c r="DK50" s="13"/>
      <c r="DL50" s="13"/>
      <c r="DM50" s="13"/>
      <c r="DN50" s="13"/>
      <c r="DO50" s="13"/>
      <c r="DP50" s="13"/>
      <c r="DQ50" s="13"/>
      <c r="DR50" s="13"/>
      <c r="DS50" s="13"/>
      <c r="DT50" s="13"/>
      <c r="DU50" s="13"/>
      <c r="DV50" s="13"/>
      <c r="DW50" s="13"/>
      <c r="DX50" s="13"/>
      <c r="DY50" s="13"/>
      <c r="DZ50" s="13"/>
      <c r="EA50" s="13"/>
      <c r="EB50" s="13"/>
      <c r="EC50" s="13"/>
      <c r="ED50" s="13"/>
      <c r="EE50" s="13"/>
      <c r="EF50" s="13"/>
      <c r="EG50" s="13"/>
      <c r="EH50" s="13"/>
      <c r="EI50" s="13"/>
      <c r="EJ50" s="13"/>
      <c r="EK50" s="13"/>
      <c r="EL50" s="13"/>
      <c r="EM50" s="13"/>
      <c r="EN50" s="13"/>
      <c r="EO50" s="13"/>
      <c r="EP50" s="13"/>
      <c r="EQ50" s="13"/>
      <c r="ER50" s="13"/>
      <c r="ES50" s="13"/>
      <c r="ET50" s="13"/>
      <c r="EU50" s="13"/>
      <c r="EV50" s="13"/>
      <c r="EW50" s="13"/>
      <c r="EX50" s="13"/>
      <c r="EY50" s="13"/>
      <c r="EZ50" s="13"/>
      <c r="FA50" s="13"/>
      <c r="FB50" s="13"/>
      <c r="FC50" s="13"/>
      <c r="FD50" s="13"/>
      <c r="FE50" s="13"/>
      <c r="FF50" s="13"/>
      <c r="FG50" s="13"/>
      <c r="FH50" s="13"/>
      <c r="FI50" s="13"/>
      <c r="FJ50" s="13"/>
      <c r="FK50" s="13"/>
      <c r="FL50" s="13"/>
      <c r="FM50" s="13"/>
      <c r="FN50" s="13"/>
      <c r="FO50" s="13"/>
      <c r="FP50" s="13"/>
      <c r="FQ50" s="13"/>
      <c r="FR50" s="13"/>
      <c r="FS50" s="13"/>
      <c r="FT50" s="13"/>
      <c r="FU50" s="13"/>
      <c r="FV50" s="13"/>
      <c r="FW50" s="13"/>
      <c r="FX50" s="13"/>
      <c r="FY50" s="13"/>
      <c r="FZ50" s="13"/>
      <c r="GA50" s="13"/>
      <c r="GB50" s="13"/>
      <c r="GC50" s="13"/>
      <c r="GD50" s="13"/>
      <c r="GE50" s="13"/>
      <c r="GF50" s="13"/>
      <c r="GG50" s="13"/>
      <c r="GH50" s="13"/>
      <c r="GI50" s="13"/>
      <c r="GJ50" s="13"/>
      <c r="GK50" s="13"/>
      <c r="GL50" s="13"/>
      <c r="GM50" s="13"/>
      <c r="GN50" s="13"/>
      <c r="GO50" s="13"/>
      <c r="GP50" s="13"/>
      <c r="GQ50" s="13"/>
      <c r="GR50" s="13"/>
      <c r="GS50" s="13"/>
      <c r="GT50" s="13"/>
      <c r="GU50" s="13"/>
      <c r="GV50" s="13"/>
      <c r="GW50" s="13"/>
      <c r="GX50" s="13"/>
      <c r="GY50" s="13"/>
      <c r="GZ50" s="13"/>
      <c r="HA50" s="13"/>
      <c r="HB50" s="13"/>
      <c r="HC50" s="13"/>
      <c r="HD50" s="13"/>
      <c r="HE50" s="13"/>
      <c r="HF50" s="13"/>
      <c r="HG50" s="13"/>
      <c r="HH50" s="13"/>
      <c r="HI50" s="13"/>
      <c r="HJ50" s="13"/>
      <c r="HK50" s="13"/>
      <c r="HL50" s="13"/>
      <c r="HM50" s="13"/>
      <c r="HN50" s="13"/>
      <c r="HO50" s="13"/>
      <c r="HP50" s="13"/>
      <c r="HQ50" s="13"/>
      <c r="HR50" s="13"/>
      <c r="HS50" s="13"/>
      <c r="HT50" s="13"/>
      <c r="HU50" s="13"/>
      <c r="HV50" s="13"/>
      <c r="HW50" s="13"/>
      <c r="HX50" s="13"/>
      <c r="HY50" s="13"/>
      <c r="HZ50" s="13"/>
      <c r="IA50" s="13"/>
      <c r="IB50" s="13"/>
      <c r="IC50" s="13"/>
      <c r="ID50" s="13"/>
      <c r="IE50" s="13"/>
      <c r="IF50" s="13"/>
      <c r="IG50" s="13"/>
      <c r="IH50" s="13"/>
      <c r="II50" s="13"/>
      <c r="IJ50" s="13"/>
      <c r="IK50" s="13"/>
      <c r="IL50" s="13"/>
      <c r="IM50" s="13"/>
      <c r="IN50" s="13"/>
      <c r="IO50" s="13"/>
      <c r="IP50" s="13"/>
      <c r="IQ50" s="13"/>
      <c r="IR50" s="13"/>
    </row>
    <row r="51" spans="1:252" ht="12" customHeight="1" x14ac:dyDescent="0.2">
      <c r="B51" s="221"/>
      <c r="C51" s="50" t="s">
        <v>5</v>
      </c>
      <c r="L51" s="508">
        <v>23568353</v>
      </c>
      <c r="N51" s="508">
        <v>23939117</v>
      </c>
      <c r="O51" s="508">
        <v>24015214</v>
      </c>
      <c r="S51" s="499">
        <f>L51-L50</f>
        <v>2.6141438633203506E-2</v>
      </c>
      <c r="T51" s="499">
        <f>N51-N50</f>
        <v>1.7227079719305038E-2</v>
      </c>
      <c r="U51" s="499">
        <f>O51-O50</f>
        <v>-0.55947627499699593</v>
      </c>
    </row>
    <row r="52" spans="1:252" x14ac:dyDescent="0.2">
      <c r="B52" s="221"/>
      <c r="C52" s="80" t="s">
        <v>271</v>
      </c>
      <c r="D52" s="148"/>
      <c r="E52" s="147" t="e">
        <f>'2020 - 2023 Comb Revenues A2'!B14-'ES CT Gas Table A'!E50</f>
        <v>#VALUE!</v>
      </c>
      <c r="F52" s="147"/>
      <c r="G52" s="147">
        <f>'2020 - 2023 Comb Revenues A2'!H14-'ES CT Gas Table A'!G50</f>
        <v>-5689173.9345908649</v>
      </c>
      <c r="H52" s="147">
        <f>'2020 - 2023 Comb Revenues A2'!G14-'ES CT Gas Table A'!H50</f>
        <v>-23409732.993858561</v>
      </c>
      <c r="I52" s="147">
        <f>'2020 - 2023 Comb Revenues A2'!H14-'ES CT Gas Table A'!I50</f>
        <v>6.1414428055286407E-3</v>
      </c>
      <c r="J52" s="147">
        <f>'2020 - 2023 Comb Revenues A2'!C22-'ES CT Gas Table A'!J50</f>
        <v>170267.9954091385</v>
      </c>
      <c r="K52" s="147">
        <f>'2020 - 2023 Comb Revenues A2'!C22-'ES CT Gas Table A'!K50</f>
        <v>87500.026141438633</v>
      </c>
      <c r="L52" s="147">
        <f>'2022-2025 Comb Revenues A2-Rev'!H14-'ES CT Gas Table A'!L50</f>
        <v>2.6141438633203506E-2</v>
      </c>
      <c r="M52" s="147">
        <f>'2020 - 2023 Comb Revenues A2'!H22-'ES CT Gas Table A'!M50</f>
        <v>2.6141438633203506E-2</v>
      </c>
      <c r="N52" s="147">
        <f>'2022-2025 Comb Revenues A2-Rev'!C22-'ES CT Gas Table A'!N50</f>
        <v>1.7227079719305038E-2</v>
      </c>
      <c r="O52" s="147">
        <f>'2022-2025 Comb Revenues A2-Rev'!H21-'ES CT Gas Table A'!O50</f>
        <v>-0.55947627499699593</v>
      </c>
    </row>
    <row r="53" spans="1:252" x14ac:dyDescent="0.2">
      <c r="B53" s="221"/>
      <c r="C53"/>
      <c r="D53" s="41"/>
      <c r="E53" s="41"/>
      <c r="F53" s="41"/>
      <c r="G53" s="41"/>
      <c r="H53" s="41"/>
      <c r="I53" s="41"/>
      <c r="J53" s="41"/>
      <c r="K53" s="41"/>
      <c r="L53" s="41"/>
      <c r="M53" s="41"/>
      <c r="N53" s="41"/>
      <c r="O53" s="41"/>
    </row>
    <row r="54" spans="1:252" x14ac:dyDescent="0.2">
      <c r="B54" s="221"/>
      <c r="C54" s="80" t="s">
        <v>272</v>
      </c>
      <c r="D54" s="41">
        <f t="shared" ref="D54:M54" si="59">D50-D45-D44-D43-D41</f>
        <v>20957337.510291617</v>
      </c>
      <c r="E54" s="41">
        <f t="shared" ref="E54" si="60">E50-E45-E44-E43-E41</f>
        <v>19741552.999590866</v>
      </c>
      <c r="F54" s="41">
        <f t="shared" si="59"/>
        <v>22039437.219999999</v>
      </c>
      <c r="G54" s="41">
        <f t="shared" si="59"/>
        <v>22483100.934590865</v>
      </c>
      <c r="H54" s="41">
        <f t="shared" ref="H54" si="61">H50-H45-H44-H43-H41</f>
        <v>22206469.993858561</v>
      </c>
      <c r="I54" s="41">
        <f t="shared" si="59"/>
        <v>16940943.993858557</v>
      </c>
      <c r="J54" s="41">
        <f t="shared" si="59"/>
        <v>22832100.49459086</v>
      </c>
      <c r="K54" s="41">
        <f t="shared" si="59"/>
        <v>22781201.973858561</v>
      </c>
      <c r="L54" s="41">
        <f>L50-L45-L44-L43-L41</f>
        <v>22357535.973858561</v>
      </c>
      <c r="M54" s="41">
        <f t="shared" si="59"/>
        <v>23286980.973858561</v>
      </c>
      <c r="N54" s="41">
        <f>N50-N45-N44-N43-N41</f>
        <v>22710644.772435419</v>
      </c>
      <c r="O54" s="41">
        <f>O50-O45-O44-O43-O41</f>
        <v>22783118.497257523</v>
      </c>
    </row>
    <row r="55" spans="1:252" x14ac:dyDescent="0.2">
      <c r="C55" s="80" t="s">
        <v>273</v>
      </c>
      <c r="D55" s="41" t="s">
        <v>5</v>
      </c>
      <c r="E55" s="41">
        <f>E54*4.5%</f>
        <v>888369.88498158893</v>
      </c>
      <c r="F55" s="41">
        <f>F54*4.5%</f>
        <v>991774.67489999987</v>
      </c>
      <c r="G55" s="41">
        <f t="shared" ref="G55:J55" si="62">G54*4.5%</f>
        <v>1011739.5420565889</v>
      </c>
      <c r="H55" s="41">
        <f>H54*5%</f>
        <v>1110323.499692928</v>
      </c>
      <c r="I55" s="41">
        <f>I54*5%</f>
        <v>847047.19969292788</v>
      </c>
      <c r="J55" s="41">
        <f t="shared" si="62"/>
        <v>1027444.5222565887</v>
      </c>
      <c r="K55" s="41">
        <f>K54*5%</f>
        <v>1139060.0986929282</v>
      </c>
      <c r="L55" s="41">
        <f>L54*5%</f>
        <v>1117876.7986929282</v>
      </c>
      <c r="M55" s="41">
        <f>M54*5%</f>
        <v>1164349.0486929282</v>
      </c>
      <c r="N55" s="41">
        <f t="shared" ref="N55:O55" si="63">N54*5%</f>
        <v>1135532.2386217711</v>
      </c>
      <c r="O55" s="41">
        <f t="shared" si="63"/>
        <v>1139155.9248628763</v>
      </c>
    </row>
    <row r="56" spans="1:252" x14ac:dyDescent="0.2">
      <c r="C56"/>
      <c r="D56" s="41"/>
      <c r="E56" s="41"/>
      <c r="F56" s="41"/>
      <c r="G56" s="41"/>
      <c r="H56" s="41"/>
      <c r="I56" s="41"/>
      <c r="J56" s="41"/>
      <c r="K56" s="41"/>
      <c r="L56" s="41"/>
      <c r="M56" s="41" t="s">
        <v>5</v>
      </c>
      <c r="N56" s="41" t="s">
        <v>5</v>
      </c>
      <c r="O56" s="41" t="s">
        <v>5</v>
      </c>
    </row>
    <row r="57" spans="1:252" x14ac:dyDescent="0.2">
      <c r="C57" s="80" t="s">
        <v>274</v>
      </c>
      <c r="D57" s="41">
        <f t="shared" ref="D57:M57" si="64">D50-D45</f>
        <v>21037636.230291616</v>
      </c>
      <c r="E57" s="41">
        <f t="shared" ref="E57" si="65">E50-E45</f>
        <v>19816816.999590866</v>
      </c>
      <c r="F57" s="41">
        <f t="shared" si="64"/>
        <v>22119898.219999999</v>
      </c>
      <c r="G57" s="41">
        <f t="shared" si="64"/>
        <v>22558364.934590865</v>
      </c>
      <c r="H57" s="41">
        <f t="shared" ref="H57" si="66">H50-H45</f>
        <v>22299409.993858561</v>
      </c>
      <c r="I57" s="41">
        <f t="shared" si="64"/>
        <v>17033883.993858557</v>
      </c>
      <c r="J57" s="41">
        <f t="shared" si="64"/>
        <v>22907364.49459086</v>
      </c>
      <c r="K57" s="41">
        <f t="shared" si="64"/>
        <v>22874141.973858561</v>
      </c>
      <c r="L57" s="41">
        <f t="shared" ref="L57" si="67">L50-L45</f>
        <v>22450475.973858561</v>
      </c>
      <c r="M57" s="41">
        <f t="shared" si="64"/>
        <v>23379920.973858561</v>
      </c>
      <c r="N57" s="41">
        <f t="shared" ref="N57:O57" si="68">N50-N45</f>
        <v>22803584.772435419</v>
      </c>
      <c r="O57" s="41">
        <f t="shared" si="68"/>
        <v>22876058.497257523</v>
      </c>
    </row>
  </sheetData>
  <mergeCells count="8">
    <mergeCell ref="C25:M25"/>
    <mergeCell ref="C31:M31"/>
    <mergeCell ref="C36:M36"/>
    <mergeCell ref="C2:M2"/>
    <mergeCell ref="C3:M3"/>
    <mergeCell ref="C4:M4"/>
    <mergeCell ref="C12:M12"/>
    <mergeCell ref="C19:M19"/>
  </mergeCells>
  <pageMargins left="0.7" right="0.7" top="0.75" bottom="0.75" header="0.3" footer="0.3"/>
  <pageSetup scale="55" orientation="landscape"/>
  <ignoredErrors>
    <ignoredError sqref="G18"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743680-50D2-4B8F-B844-3E8D95EFA27B}">
  <sheetPr>
    <pageSetUpPr fitToPage="1"/>
  </sheetPr>
  <dimension ref="A1:N85"/>
  <sheetViews>
    <sheetView workbookViewId="0">
      <selection activeCell="G29" sqref="G29"/>
    </sheetView>
  </sheetViews>
  <sheetFormatPr defaultColWidth="9.140625" defaultRowHeight="12.75" x14ac:dyDescent="0.2"/>
  <cols>
    <col min="1" max="1" width="9.140625" style="399"/>
    <col min="2" max="2" width="55.28515625" style="395" bestFit="1" customWidth="1"/>
    <col min="3" max="3" width="16" style="395" bestFit="1" customWidth="1"/>
    <col min="4" max="5" width="10.7109375" style="395" customWidth="1"/>
    <col min="6" max="7" width="9.140625" style="395"/>
    <col min="8" max="8" width="12.5703125" style="395" customWidth="1"/>
    <col min="9" max="16384" width="9.140625" style="395"/>
  </cols>
  <sheetData>
    <row r="1" spans="1:14" customFormat="1" ht="18" x14ac:dyDescent="0.25">
      <c r="A1" s="597"/>
      <c r="B1" s="597"/>
      <c r="C1" s="597"/>
      <c r="D1" s="597"/>
      <c r="E1" s="597"/>
      <c r="F1" s="597"/>
      <c r="G1" s="597"/>
      <c r="H1" s="597"/>
      <c r="I1" s="597"/>
      <c r="J1" s="597"/>
      <c r="K1" s="597"/>
      <c r="L1" s="597"/>
      <c r="M1" s="597"/>
      <c r="N1" s="597"/>
    </row>
    <row r="2" spans="1:14" customFormat="1" ht="18" x14ac:dyDescent="0.25">
      <c r="A2" s="597"/>
      <c r="B2" s="597"/>
      <c r="C2" s="597"/>
      <c r="D2" s="597"/>
      <c r="E2" s="597"/>
      <c r="F2" s="597"/>
      <c r="G2" s="597"/>
      <c r="H2" s="597"/>
      <c r="I2" s="597"/>
      <c r="J2" s="597"/>
      <c r="K2" s="597"/>
      <c r="L2" s="597"/>
      <c r="M2" s="597"/>
      <c r="N2" s="597"/>
    </row>
    <row r="3" spans="1:14" customFormat="1" ht="23.25" x14ac:dyDescent="0.35">
      <c r="A3" s="441"/>
      <c r="B3" s="598" t="s">
        <v>290</v>
      </c>
      <c r="C3" s="598"/>
      <c r="D3" s="598"/>
      <c r="E3" s="598"/>
      <c r="F3" s="441"/>
      <c r="G3" s="441"/>
      <c r="H3" s="441"/>
      <c r="I3" s="441"/>
      <c r="J3" s="441"/>
      <c r="K3" s="441"/>
      <c r="L3" s="441"/>
      <c r="M3" s="441"/>
      <c r="N3" s="441"/>
    </row>
    <row r="4" spans="1:14" x14ac:dyDescent="0.2">
      <c r="B4" s="599"/>
      <c r="C4" s="599"/>
      <c r="D4" s="599"/>
      <c r="E4" s="599"/>
    </row>
    <row r="5" spans="1:14" ht="16.5" x14ac:dyDescent="0.25">
      <c r="B5" s="600" t="s">
        <v>152</v>
      </c>
      <c r="C5" s="600"/>
      <c r="D5" s="600"/>
      <c r="E5" s="600"/>
    </row>
    <row r="6" spans="1:14" ht="16.5" x14ac:dyDescent="0.25">
      <c r="B6" s="442"/>
      <c r="C6" s="442"/>
      <c r="D6" s="442"/>
      <c r="E6" s="442"/>
    </row>
    <row r="7" spans="1:14" ht="17.25" thickBot="1" x14ac:dyDescent="0.3">
      <c r="B7" s="442"/>
      <c r="C7" s="442"/>
      <c r="D7" s="442"/>
      <c r="E7" s="442"/>
    </row>
    <row r="8" spans="1:14" ht="17.25" thickBot="1" x14ac:dyDescent="0.3">
      <c r="B8" s="442"/>
      <c r="C8" s="443" t="s">
        <v>153</v>
      </c>
      <c r="D8" s="444" t="s">
        <v>154</v>
      </c>
      <c r="E8" s="445" t="s">
        <v>107</v>
      </c>
    </row>
    <row r="9" spans="1:14" ht="17.25" thickBot="1" x14ac:dyDescent="0.3">
      <c r="B9" s="595" t="s">
        <v>200</v>
      </c>
      <c r="C9" s="595"/>
      <c r="D9" s="595"/>
      <c r="E9" s="595"/>
      <c r="F9" s="395" t="s">
        <v>281</v>
      </c>
      <c r="G9" s="395" t="s">
        <v>282</v>
      </c>
      <c r="H9" s="399" t="s">
        <v>283</v>
      </c>
      <c r="I9" s="395" t="s">
        <v>284</v>
      </c>
    </row>
    <row r="10" spans="1:14" ht="17.25" thickBot="1" x14ac:dyDescent="0.3">
      <c r="B10" s="447" t="s">
        <v>285</v>
      </c>
      <c r="C10" s="241">
        <v>0.8</v>
      </c>
      <c r="D10" s="241">
        <v>0.2</v>
      </c>
      <c r="E10" s="241">
        <v>0</v>
      </c>
      <c r="F10" s="395">
        <v>3</v>
      </c>
      <c r="G10" s="395">
        <v>28</v>
      </c>
      <c r="H10" s="399">
        <v>1</v>
      </c>
      <c r="I10" s="395">
        <v>26</v>
      </c>
    </row>
    <row r="11" spans="1:14" ht="17.25" thickBot="1" x14ac:dyDescent="0.3">
      <c r="B11" s="447" t="s">
        <v>286</v>
      </c>
      <c r="C11" s="241">
        <v>0.5</v>
      </c>
      <c r="D11" s="241">
        <v>0.5</v>
      </c>
      <c r="E11" s="241">
        <v>0</v>
      </c>
      <c r="F11" s="395">
        <v>4</v>
      </c>
      <c r="G11" s="395">
        <v>29</v>
      </c>
      <c r="H11" s="399">
        <v>2</v>
      </c>
      <c r="I11" s="395">
        <v>27</v>
      </c>
    </row>
    <row r="12" spans="1:14" ht="17.25" thickBot="1" x14ac:dyDescent="0.3">
      <c r="B12" s="447" t="s">
        <v>287</v>
      </c>
      <c r="C12" s="241">
        <v>0.5</v>
      </c>
      <c r="D12" s="241">
        <v>0.5</v>
      </c>
      <c r="E12" s="241">
        <v>0</v>
      </c>
      <c r="F12" s="395">
        <v>1</v>
      </c>
      <c r="G12" s="395">
        <v>26</v>
      </c>
      <c r="H12" s="399">
        <v>3</v>
      </c>
      <c r="I12" s="395">
        <v>28</v>
      </c>
    </row>
    <row r="13" spans="1:14" ht="17.25" thickBot="1" x14ac:dyDescent="0.3">
      <c r="B13" s="447" t="s">
        <v>288</v>
      </c>
      <c r="C13" s="241">
        <v>0.8</v>
      </c>
      <c r="D13" s="241">
        <v>0.2</v>
      </c>
      <c r="E13" s="241">
        <v>0</v>
      </c>
      <c r="F13" s="395">
        <v>2</v>
      </c>
      <c r="G13" s="395">
        <v>27</v>
      </c>
      <c r="H13" s="399">
        <v>4</v>
      </c>
      <c r="I13" s="395">
        <v>29</v>
      </c>
    </row>
    <row r="14" spans="1:14" ht="21.75" customHeight="1" thickBot="1" x14ac:dyDescent="0.3">
      <c r="B14" s="595" t="s">
        <v>3</v>
      </c>
      <c r="C14" s="595"/>
      <c r="D14" s="595"/>
      <c r="E14" s="595"/>
      <c r="F14" s="395" t="s">
        <v>5</v>
      </c>
    </row>
    <row r="15" spans="1:14" ht="17.25" thickBot="1" x14ac:dyDescent="0.3">
      <c r="B15" s="446" t="s">
        <v>155</v>
      </c>
      <c r="C15" s="241">
        <v>1</v>
      </c>
      <c r="D15" s="241">
        <v>0</v>
      </c>
      <c r="E15" s="241">
        <v>0</v>
      </c>
      <c r="G15" s="395">
        <v>32</v>
      </c>
      <c r="I15" s="395">
        <v>32</v>
      </c>
    </row>
    <row r="16" spans="1:14" ht="17.25" thickBot="1" x14ac:dyDescent="0.3">
      <c r="B16" s="447" t="s">
        <v>156</v>
      </c>
      <c r="C16" s="241">
        <v>0</v>
      </c>
      <c r="D16" s="241">
        <v>1</v>
      </c>
      <c r="E16" s="241">
        <v>0</v>
      </c>
      <c r="G16" s="395">
        <v>33</v>
      </c>
      <c r="I16" s="395">
        <v>33</v>
      </c>
    </row>
    <row r="17" spans="2:9" ht="17.25" thickBot="1" x14ac:dyDescent="0.3">
      <c r="B17" s="447" t="s">
        <v>157</v>
      </c>
      <c r="C17" s="241">
        <v>0</v>
      </c>
      <c r="D17" s="241">
        <v>0</v>
      </c>
      <c r="E17" s="241">
        <v>1</v>
      </c>
      <c r="G17" s="395">
        <v>34</v>
      </c>
      <c r="I17" s="395">
        <v>34</v>
      </c>
    </row>
    <row r="18" spans="2:9" ht="17.25" thickBot="1" x14ac:dyDescent="0.3">
      <c r="B18" s="595" t="s">
        <v>33</v>
      </c>
      <c r="C18" s="595"/>
      <c r="D18" s="595"/>
      <c r="E18" s="595"/>
    </row>
    <row r="19" spans="2:9" ht="17.25" thickBot="1" x14ac:dyDescent="0.3">
      <c r="B19" s="446" t="s">
        <v>158</v>
      </c>
      <c r="C19" s="241">
        <v>0</v>
      </c>
      <c r="D19" s="241">
        <v>0</v>
      </c>
      <c r="E19" s="241">
        <v>1</v>
      </c>
      <c r="G19" s="395">
        <v>37</v>
      </c>
      <c r="I19" s="395">
        <v>37</v>
      </c>
    </row>
    <row r="20" spans="2:9" ht="17.25" thickBot="1" x14ac:dyDescent="0.3">
      <c r="B20" s="446" t="s">
        <v>159</v>
      </c>
      <c r="C20" s="241">
        <v>0.8</v>
      </c>
      <c r="D20" s="241">
        <v>0.2</v>
      </c>
      <c r="E20" s="241">
        <v>0</v>
      </c>
      <c r="G20" s="395">
        <v>38</v>
      </c>
      <c r="I20" s="395">
        <v>38</v>
      </c>
    </row>
    <row r="21" spans="2:9" ht="17.25" thickBot="1" x14ac:dyDescent="0.3">
      <c r="B21" s="446" t="s">
        <v>160</v>
      </c>
      <c r="C21" s="241">
        <v>0</v>
      </c>
      <c r="D21" s="241">
        <v>0</v>
      </c>
      <c r="E21" s="241">
        <v>1</v>
      </c>
      <c r="G21" s="395">
        <v>39</v>
      </c>
      <c r="I21" s="395">
        <v>39</v>
      </c>
    </row>
    <row r="22" spans="2:9" ht="17.25" thickBot="1" x14ac:dyDescent="0.3">
      <c r="B22" s="446" t="s">
        <v>161</v>
      </c>
      <c r="C22" s="241">
        <v>0</v>
      </c>
      <c r="D22" s="241">
        <v>0</v>
      </c>
      <c r="E22" s="241">
        <v>1</v>
      </c>
      <c r="G22" s="395">
        <v>40</v>
      </c>
      <c r="I22" s="395">
        <v>40</v>
      </c>
    </row>
    <row r="23" spans="2:9" ht="17.25" thickBot="1" x14ac:dyDescent="0.3">
      <c r="B23" s="446" t="s">
        <v>162</v>
      </c>
      <c r="C23" s="241">
        <v>0</v>
      </c>
      <c r="D23" s="241">
        <v>0</v>
      </c>
      <c r="E23" s="241">
        <v>1</v>
      </c>
      <c r="G23" s="395">
        <v>41</v>
      </c>
      <c r="I23" s="395">
        <v>41</v>
      </c>
    </row>
    <row r="24" spans="2:9" ht="17.25" thickBot="1" x14ac:dyDescent="0.3">
      <c r="B24" s="446" t="s">
        <v>163</v>
      </c>
      <c r="C24" s="241">
        <v>0</v>
      </c>
      <c r="D24" s="241">
        <v>0</v>
      </c>
      <c r="E24" s="241">
        <v>1</v>
      </c>
      <c r="G24" s="395">
        <v>42</v>
      </c>
      <c r="I24" s="395">
        <v>42</v>
      </c>
    </row>
    <row r="25" spans="2:9" ht="17.25" thickBot="1" x14ac:dyDescent="0.3">
      <c r="B25" s="446" t="s">
        <v>164</v>
      </c>
      <c r="C25" s="241">
        <v>0</v>
      </c>
      <c r="D25" s="241">
        <v>0</v>
      </c>
      <c r="E25" s="241">
        <v>1</v>
      </c>
      <c r="G25" s="395">
        <v>43</v>
      </c>
      <c r="I25" s="395">
        <v>43</v>
      </c>
    </row>
    <row r="26" spans="2:9" ht="17.25" thickBot="1" x14ac:dyDescent="0.3">
      <c r="B26" s="446" t="s">
        <v>165</v>
      </c>
      <c r="C26" s="241">
        <v>0</v>
      </c>
      <c r="D26" s="241">
        <v>0</v>
      </c>
      <c r="E26" s="241">
        <v>1</v>
      </c>
      <c r="G26" s="395">
        <v>44</v>
      </c>
      <c r="I26" s="395">
        <v>44</v>
      </c>
    </row>
    <row r="27" spans="2:9" ht="17.25" thickBot="1" x14ac:dyDescent="0.3">
      <c r="B27" s="447" t="s">
        <v>166</v>
      </c>
      <c r="C27" s="241">
        <v>0</v>
      </c>
      <c r="D27" s="241">
        <v>0</v>
      </c>
      <c r="E27" s="241">
        <v>1</v>
      </c>
      <c r="G27" s="395">
        <v>45</v>
      </c>
      <c r="I27" s="395">
        <v>45</v>
      </c>
    </row>
    <row r="28" spans="2:9" ht="18" x14ac:dyDescent="0.25">
      <c r="B28" s="197"/>
      <c r="C28" s="197"/>
      <c r="D28" s="197"/>
      <c r="E28" s="197"/>
    </row>
    <row r="29" spans="2:9" ht="60.75" customHeight="1" x14ac:dyDescent="0.2">
      <c r="B29" s="596" t="s">
        <v>289</v>
      </c>
      <c r="C29" s="596"/>
      <c r="D29" s="596"/>
      <c r="E29" s="596"/>
    </row>
    <row r="32" spans="2:9" ht="15.75" hidden="1" x14ac:dyDescent="0.25">
      <c r="C32" s="30">
        <v>2016</v>
      </c>
      <c r="D32" s="30">
        <v>2017</v>
      </c>
      <c r="E32" s="30">
        <v>2018</v>
      </c>
    </row>
    <row r="33" spans="1:2" ht="15.75" hidden="1" x14ac:dyDescent="0.2">
      <c r="B33" s="118" t="s">
        <v>167</v>
      </c>
    </row>
    <row r="34" spans="1:2" ht="15.75" hidden="1" x14ac:dyDescent="0.25">
      <c r="A34" s="399" t="s">
        <v>168</v>
      </c>
      <c r="B34" s="119" t="s">
        <v>52</v>
      </c>
    </row>
    <row r="35" spans="1:2" hidden="1" x14ac:dyDescent="0.2">
      <c r="A35" s="399">
        <v>100</v>
      </c>
      <c r="B35" s="120" t="s">
        <v>169</v>
      </c>
    </row>
    <row r="36" spans="1:2" hidden="1" x14ac:dyDescent="0.2">
      <c r="B36" s="120" t="s">
        <v>170</v>
      </c>
    </row>
    <row r="37" spans="1:2" hidden="1" x14ac:dyDescent="0.2">
      <c r="B37" s="120" t="s">
        <v>171</v>
      </c>
    </row>
    <row r="38" spans="1:2" hidden="1" x14ac:dyDescent="0.2">
      <c r="B38" s="120" t="s">
        <v>172</v>
      </c>
    </row>
    <row r="39" spans="1:2" hidden="1" x14ac:dyDescent="0.2">
      <c r="B39" s="120" t="s">
        <v>173</v>
      </c>
    </row>
    <row r="40" spans="1:2" hidden="1" x14ac:dyDescent="0.2">
      <c r="B40" s="120" t="s">
        <v>174</v>
      </c>
    </row>
    <row r="41" spans="1:2" hidden="1" x14ac:dyDescent="0.2">
      <c r="B41" s="120" t="s">
        <v>175</v>
      </c>
    </row>
    <row r="42" spans="1:2" hidden="1" x14ac:dyDescent="0.2">
      <c r="B42" s="120" t="s">
        <v>176</v>
      </c>
    </row>
    <row r="43" spans="1:2" hidden="1" x14ac:dyDescent="0.2">
      <c r="B43" s="120" t="s">
        <v>177</v>
      </c>
    </row>
    <row r="44" spans="1:2" hidden="1" x14ac:dyDescent="0.2">
      <c r="B44" s="120" t="s">
        <v>178</v>
      </c>
    </row>
    <row r="45" spans="1:2" hidden="1" x14ac:dyDescent="0.2">
      <c r="B45" s="120"/>
    </row>
    <row r="46" spans="1:2" hidden="1" x14ac:dyDescent="0.2">
      <c r="B46" s="120"/>
    </row>
    <row r="47" spans="1:2" ht="15.75" hidden="1" x14ac:dyDescent="0.25">
      <c r="B47" s="119" t="s">
        <v>53</v>
      </c>
    </row>
    <row r="48" spans="1:2" hidden="1" x14ac:dyDescent="0.2">
      <c r="B48" s="120" t="s">
        <v>170</v>
      </c>
    </row>
    <row r="49" spans="2:2" hidden="1" x14ac:dyDescent="0.2">
      <c r="B49" s="120" t="s">
        <v>172</v>
      </c>
    </row>
    <row r="50" spans="2:2" hidden="1" x14ac:dyDescent="0.2">
      <c r="B50" s="120" t="s">
        <v>173</v>
      </c>
    </row>
    <row r="51" spans="2:2" hidden="1" x14ac:dyDescent="0.2">
      <c r="B51" s="120" t="s">
        <v>174</v>
      </c>
    </row>
    <row r="52" spans="2:2" hidden="1" x14ac:dyDescent="0.2">
      <c r="B52" s="120" t="s">
        <v>175</v>
      </c>
    </row>
    <row r="53" spans="2:2" hidden="1" x14ac:dyDescent="0.2">
      <c r="B53" s="120" t="s">
        <v>176</v>
      </c>
    </row>
    <row r="54" spans="2:2" hidden="1" x14ac:dyDescent="0.2">
      <c r="B54" s="120" t="s">
        <v>177</v>
      </c>
    </row>
    <row r="55" spans="2:2" hidden="1" x14ac:dyDescent="0.2">
      <c r="B55" s="120" t="s">
        <v>178</v>
      </c>
    </row>
    <row r="56" spans="2:2" hidden="1" x14ac:dyDescent="0.2">
      <c r="B56" s="120"/>
    </row>
    <row r="57" spans="2:2" hidden="1" x14ac:dyDescent="0.2">
      <c r="B57" s="120"/>
    </row>
    <row r="58" spans="2:2" hidden="1" x14ac:dyDescent="0.2">
      <c r="B58" s="120"/>
    </row>
    <row r="59" spans="2:2" ht="15.75" hidden="1" x14ac:dyDescent="0.25">
      <c r="B59" s="121" t="s">
        <v>54</v>
      </c>
    </row>
    <row r="60" spans="2:2" ht="15.75" hidden="1" x14ac:dyDescent="0.25">
      <c r="B60" s="119" t="s">
        <v>179</v>
      </c>
    </row>
    <row r="61" spans="2:2" hidden="1" x14ac:dyDescent="0.2">
      <c r="B61" s="120" t="s">
        <v>180</v>
      </c>
    </row>
    <row r="62" spans="2:2" hidden="1" x14ac:dyDescent="0.2">
      <c r="B62" s="120" t="s">
        <v>181</v>
      </c>
    </row>
    <row r="63" spans="2:2" hidden="1" x14ac:dyDescent="0.2">
      <c r="B63" s="120" t="s">
        <v>173</v>
      </c>
    </row>
    <row r="64" spans="2:2" hidden="1" x14ac:dyDescent="0.2">
      <c r="B64" s="120" t="s">
        <v>174</v>
      </c>
    </row>
    <row r="65" spans="2:2" hidden="1" x14ac:dyDescent="0.2">
      <c r="B65" s="120" t="s">
        <v>175</v>
      </c>
    </row>
    <row r="66" spans="2:2" hidden="1" x14ac:dyDescent="0.2">
      <c r="B66" s="120" t="s">
        <v>176</v>
      </c>
    </row>
    <row r="67" spans="2:2" hidden="1" x14ac:dyDescent="0.2">
      <c r="B67" s="120" t="s">
        <v>177</v>
      </c>
    </row>
    <row r="68" spans="2:2" hidden="1" x14ac:dyDescent="0.2">
      <c r="B68" s="120" t="s">
        <v>178</v>
      </c>
    </row>
    <row r="69" spans="2:2" hidden="1" x14ac:dyDescent="0.2">
      <c r="B69" s="120"/>
    </row>
    <row r="70" spans="2:2" ht="15.75" hidden="1" x14ac:dyDescent="0.25">
      <c r="B70" s="121" t="s">
        <v>57</v>
      </c>
    </row>
    <row r="71" spans="2:2" ht="15.75" hidden="1" x14ac:dyDescent="0.25">
      <c r="B71" s="119"/>
    </row>
    <row r="72" spans="2:2" ht="15.75" hidden="1" x14ac:dyDescent="0.25">
      <c r="B72" s="119" t="s">
        <v>58</v>
      </c>
    </row>
    <row r="73" spans="2:2" hidden="1" x14ac:dyDescent="0.2">
      <c r="B73" s="120" t="s">
        <v>182</v>
      </c>
    </row>
    <row r="74" spans="2:2" hidden="1" x14ac:dyDescent="0.2">
      <c r="B74" s="120" t="s">
        <v>183</v>
      </c>
    </row>
    <row r="75" spans="2:2" hidden="1" x14ac:dyDescent="0.2">
      <c r="B75" s="120" t="s">
        <v>184</v>
      </c>
    </row>
    <row r="76" spans="2:2" hidden="1" x14ac:dyDescent="0.2">
      <c r="B76" s="120" t="s">
        <v>185</v>
      </c>
    </row>
    <row r="77" spans="2:2" hidden="1" x14ac:dyDescent="0.2">
      <c r="B77" s="120" t="s">
        <v>186</v>
      </c>
    </row>
    <row r="78" spans="2:2" hidden="1" x14ac:dyDescent="0.2">
      <c r="B78" s="120" t="s">
        <v>187</v>
      </c>
    </row>
    <row r="79" spans="2:2" hidden="1" x14ac:dyDescent="0.2">
      <c r="B79" s="120" t="s">
        <v>188</v>
      </c>
    </row>
    <row r="80" spans="2:2" hidden="1" x14ac:dyDescent="0.2">
      <c r="B80" s="120" t="s">
        <v>189</v>
      </c>
    </row>
    <row r="81" spans="2:2" hidden="1" x14ac:dyDescent="0.2">
      <c r="B81" s="120" t="s">
        <v>190</v>
      </c>
    </row>
    <row r="82" spans="2:2" hidden="1" x14ac:dyDescent="0.2">
      <c r="B82" s="120" t="s">
        <v>5</v>
      </c>
    </row>
    <row r="83" spans="2:2" ht="15.75" hidden="1" x14ac:dyDescent="0.25">
      <c r="B83" s="448" t="s">
        <v>59</v>
      </c>
    </row>
    <row r="84" spans="2:2" ht="15.75" hidden="1" x14ac:dyDescent="0.25">
      <c r="B84" s="449"/>
    </row>
    <row r="85" spans="2:2" ht="15.75" hidden="1" x14ac:dyDescent="0.25">
      <c r="B85" s="450" t="s">
        <v>191</v>
      </c>
    </row>
  </sheetData>
  <mergeCells count="9">
    <mergeCell ref="B9:E9"/>
    <mergeCell ref="B14:E14"/>
    <mergeCell ref="B18:E18"/>
    <mergeCell ref="B29:E29"/>
    <mergeCell ref="A1:N1"/>
    <mergeCell ref="A2:N2"/>
    <mergeCell ref="B3:E3"/>
    <mergeCell ref="B4:E4"/>
    <mergeCell ref="B5:E5"/>
  </mergeCells>
  <pageMargins left="0.7" right="0.7" top="0.75" bottom="0.75" header="0.3" footer="0.3"/>
  <pageSetup scale="50"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C000"/>
  </sheetPr>
  <dimension ref="B2:V46"/>
  <sheetViews>
    <sheetView showGridLines="0" topLeftCell="A4" zoomScale="85" zoomScaleNormal="85" workbookViewId="0">
      <selection activeCell="J18" sqref="J18"/>
    </sheetView>
  </sheetViews>
  <sheetFormatPr defaultRowHeight="12.75" x14ac:dyDescent="0.2"/>
  <cols>
    <col min="2" max="2" width="36.28515625" bestFit="1" customWidth="1"/>
    <col min="4" max="4" width="15.7109375" bestFit="1" customWidth="1"/>
    <col min="5" max="5" width="13.42578125" customWidth="1"/>
    <col min="6" max="6" width="18.28515625" customWidth="1"/>
  </cols>
  <sheetData>
    <row r="2" spans="2:20" s="1" customFormat="1" ht="46.5" customHeight="1" x14ac:dyDescent="0.35">
      <c r="B2" s="601" t="s">
        <v>253</v>
      </c>
      <c r="C2" s="545"/>
      <c r="D2" s="545"/>
      <c r="E2" s="545"/>
      <c r="F2" s="545"/>
      <c r="G2" s="43"/>
      <c r="P2" s="2"/>
      <c r="Q2" s="2"/>
      <c r="R2" s="2"/>
      <c r="S2" s="2"/>
      <c r="T2" s="2"/>
    </row>
    <row r="29" spans="2:22" s="1" customFormat="1" ht="72.75" customHeight="1" x14ac:dyDescent="0.2">
      <c r="B29" s="403" t="s">
        <v>51</v>
      </c>
      <c r="C29" s="560" t="s">
        <v>192</v>
      </c>
      <c r="D29" s="560"/>
      <c r="E29" s="405" t="s">
        <v>146</v>
      </c>
      <c r="F29" s="401" t="s">
        <v>221</v>
      </c>
      <c r="G29" s="44"/>
      <c r="H29" s="44"/>
      <c r="I29" s="54"/>
      <c r="J29" s="55"/>
      <c r="P29" s="6"/>
      <c r="Q29" s="6"/>
      <c r="R29" s="8"/>
      <c r="S29" s="8"/>
      <c r="T29" s="56"/>
      <c r="U29" s="57"/>
      <c r="V29" s="8"/>
    </row>
    <row r="30" spans="2:22" s="1" customFormat="1" ht="21.75" customHeight="1" x14ac:dyDescent="0.25">
      <c r="B30" s="385" t="s">
        <v>222</v>
      </c>
      <c r="C30" s="554">
        <f>'ES CT Gas Table A'!F16+('ES CT Gas Table A'!F32*0.5)</f>
        <v>6165834.5</v>
      </c>
      <c r="D30" s="554"/>
      <c r="E30" s="386">
        <f>SUM(C30/C43)</f>
        <v>0.26273781871974472</v>
      </c>
      <c r="F30" s="387">
        <f>C30/C37</f>
        <v>0.28696652216498297</v>
      </c>
      <c r="G30" s="58"/>
      <c r="H30" s="58"/>
      <c r="I30" s="55"/>
      <c r="J30" s="55"/>
      <c r="P30" s="6"/>
      <c r="Q30" s="6"/>
      <c r="R30" s="8"/>
      <c r="S30" s="8"/>
      <c r="T30" s="56"/>
      <c r="U30" s="57"/>
      <c r="V30" s="8"/>
    </row>
    <row r="31" spans="2:22" s="1" customFormat="1" ht="21" customHeight="1" x14ac:dyDescent="0.25">
      <c r="B31" s="385" t="s">
        <v>223</v>
      </c>
      <c r="C31" s="554">
        <f>'ES CT Gas Table A'!F47-C30</f>
        <v>10077248.708999997</v>
      </c>
      <c r="D31" s="554"/>
      <c r="E31" s="386">
        <f>C31/C43</f>
        <v>0.4294105436172545</v>
      </c>
      <c r="F31" s="387">
        <f>C31/C37</f>
        <v>0.46900918521463619</v>
      </c>
      <c r="G31" s="58"/>
      <c r="H31" s="58"/>
      <c r="I31" s="55"/>
      <c r="J31" s="59"/>
      <c r="K31" s="60"/>
      <c r="L31" s="60"/>
      <c r="M31" s="60"/>
      <c r="N31" s="60"/>
      <c r="P31" s="6"/>
      <c r="Q31" s="6"/>
      <c r="R31" s="8"/>
      <c r="S31" s="8"/>
      <c r="T31" s="56"/>
      <c r="U31" s="57"/>
      <c r="V31" s="8"/>
    </row>
    <row r="32" spans="2:22" s="1" customFormat="1" ht="16.5" x14ac:dyDescent="0.25">
      <c r="B32" s="388" t="s">
        <v>54</v>
      </c>
      <c r="C32" s="555">
        <f>SUM(C30:D31)</f>
        <v>16243083.208999997</v>
      </c>
      <c r="D32" s="555"/>
      <c r="E32" s="389">
        <f>SUM(E30:E31)</f>
        <v>0.69214836233699928</v>
      </c>
      <c r="F32" s="389">
        <f>SUM(F30:F31)</f>
        <v>0.75597570737961917</v>
      </c>
      <c r="G32" s="58"/>
      <c r="H32" s="58"/>
      <c r="I32" s="55"/>
      <c r="J32" s="55"/>
      <c r="P32" s="6"/>
      <c r="Q32" s="6"/>
      <c r="R32" s="8"/>
      <c r="S32" s="8"/>
      <c r="T32" s="56"/>
      <c r="U32" s="57"/>
      <c r="V32" s="8"/>
    </row>
    <row r="33" spans="2:22" s="1" customFormat="1" ht="16.5" x14ac:dyDescent="0.25">
      <c r="B33" s="390"/>
      <c r="C33" s="547"/>
      <c r="D33" s="548"/>
      <c r="E33" s="386"/>
      <c r="F33" s="387"/>
      <c r="G33" s="58"/>
      <c r="H33" s="58"/>
      <c r="I33" s="61"/>
      <c r="J33" s="61"/>
      <c r="P33" s="8"/>
      <c r="Q33" s="8"/>
      <c r="R33" s="8"/>
      <c r="S33" s="8"/>
      <c r="T33" s="8"/>
      <c r="U33" s="8"/>
      <c r="V33" s="8"/>
    </row>
    <row r="34" spans="2:22" s="1" customFormat="1" ht="16.5" x14ac:dyDescent="0.25">
      <c r="B34" s="385" t="s">
        <v>55</v>
      </c>
      <c r="C34" s="563">
        <f>'ES CT Gas Table A'!F48</f>
        <v>5243167.0109999999</v>
      </c>
      <c r="D34" s="563"/>
      <c r="E34" s="386">
        <f>SUM(C34/C43)</f>
        <v>0.22342121956946198</v>
      </c>
      <c r="F34" s="387">
        <f>SUM(C34/C37)</f>
        <v>0.24402429262038075</v>
      </c>
      <c r="G34" s="58"/>
      <c r="H34" s="58"/>
      <c r="I34" s="61"/>
      <c r="J34" s="61"/>
      <c r="P34" s="8"/>
      <c r="Q34" s="8"/>
      <c r="R34" s="8"/>
      <c r="S34" s="8"/>
      <c r="T34" s="8"/>
      <c r="U34" s="8"/>
      <c r="V34" s="8"/>
    </row>
    <row r="35" spans="2:22" s="1" customFormat="1" ht="16.5" x14ac:dyDescent="0.25">
      <c r="B35" s="388" t="s">
        <v>56</v>
      </c>
      <c r="C35" s="555">
        <f>SUM(C34)</f>
        <v>5243167.0109999999</v>
      </c>
      <c r="D35" s="555"/>
      <c r="E35" s="389">
        <f>SUM(E33:E34)</f>
        <v>0.22342121956946198</v>
      </c>
      <c r="F35" s="389">
        <f>SUM(F33:F34)</f>
        <v>0.24402429262038075</v>
      </c>
      <c r="G35" s="58"/>
      <c r="H35" s="58"/>
      <c r="I35" s="55"/>
      <c r="J35" s="62"/>
      <c r="P35" s="8"/>
      <c r="Q35" s="8"/>
      <c r="R35" s="8"/>
      <c r="S35" s="8"/>
      <c r="T35" s="8"/>
      <c r="U35" s="8"/>
      <c r="V35" s="8"/>
    </row>
    <row r="36" spans="2:22" s="1" customFormat="1" ht="16.5" x14ac:dyDescent="0.25">
      <c r="B36" s="391"/>
      <c r="C36" s="564"/>
      <c r="D36" s="565"/>
      <c r="E36" s="392"/>
      <c r="F36" s="392"/>
      <c r="G36" s="63"/>
      <c r="H36" s="63"/>
      <c r="I36" s="55"/>
      <c r="J36" s="62"/>
    </row>
    <row r="37" spans="2:22" s="1" customFormat="1" ht="16.5" x14ac:dyDescent="0.25">
      <c r="B37" s="388" t="s">
        <v>57</v>
      </c>
      <c r="C37" s="555">
        <f>SUM(C32+C35)</f>
        <v>21486250.219999999</v>
      </c>
      <c r="D37" s="555"/>
      <c r="E37" s="389">
        <f>SUM(E32+E35)</f>
        <v>0.91556958190646132</v>
      </c>
      <c r="F37" s="389">
        <f>SUM(F32+F35)</f>
        <v>0.99999999999999989</v>
      </c>
      <c r="G37" s="58"/>
      <c r="H37" s="64"/>
      <c r="I37" s="55"/>
      <c r="J37" s="62"/>
    </row>
    <row r="38" spans="2:22" s="1" customFormat="1" ht="16.5" x14ac:dyDescent="0.25">
      <c r="B38" s="390"/>
      <c r="C38" s="547"/>
      <c r="D38" s="548"/>
      <c r="E38" s="387"/>
      <c r="F38" s="393"/>
      <c r="G38" s="65"/>
      <c r="H38" s="65"/>
      <c r="I38" s="55"/>
      <c r="J38" s="66"/>
    </row>
    <row r="39" spans="2:22" s="39" customFormat="1" ht="15" customHeight="1" x14ac:dyDescent="0.25">
      <c r="B39" s="549" t="s">
        <v>58</v>
      </c>
      <c r="C39" s="550"/>
      <c r="D39" s="550"/>
      <c r="E39" s="550"/>
      <c r="F39" s="551"/>
      <c r="G39" s="67"/>
      <c r="H39" s="69"/>
      <c r="I39" s="68"/>
      <c r="J39" s="68"/>
    </row>
    <row r="40" spans="2:22" s="39" customFormat="1" ht="26.25" customHeight="1" x14ac:dyDescent="0.25">
      <c r="B40" s="385" t="s">
        <v>58</v>
      </c>
      <c r="C40" s="554">
        <f>'ES CT Gas Table A'!F49</f>
        <v>1981382</v>
      </c>
      <c r="D40" s="554"/>
      <c r="E40" s="386">
        <f>C40/C43</f>
        <v>8.4430418093538712E-2</v>
      </c>
      <c r="F40" s="391"/>
      <c r="G40" s="67"/>
      <c r="H40" s="69"/>
      <c r="I40" s="68"/>
      <c r="J40" s="68"/>
    </row>
    <row r="41" spans="2:22" s="39" customFormat="1" ht="19.5" customHeight="1" x14ac:dyDescent="0.25">
      <c r="B41" s="388" t="s">
        <v>59</v>
      </c>
      <c r="C41" s="555">
        <f>SUM(C40)</f>
        <v>1981382</v>
      </c>
      <c r="D41" s="555"/>
      <c r="E41" s="389">
        <f>SUM(E40)</f>
        <v>8.4430418093538712E-2</v>
      </c>
      <c r="F41" s="394"/>
      <c r="G41" s="67"/>
      <c r="H41" s="70"/>
      <c r="I41" s="68"/>
      <c r="J41" s="68"/>
    </row>
    <row r="42" spans="2:22" s="39" customFormat="1" ht="16.5" x14ac:dyDescent="0.25">
      <c r="B42" s="556"/>
      <c r="C42" s="557"/>
      <c r="D42" s="557"/>
      <c r="E42" s="557"/>
      <c r="F42" s="558"/>
      <c r="G42" s="71"/>
      <c r="H42" s="72"/>
      <c r="I42" s="68"/>
      <c r="J42" s="68"/>
    </row>
    <row r="43" spans="2:22" s="39" customFormat="1" ht="16.5" x14ac:dyDescent="0.25">
      <c r="B43" s="394" t="s">
        <v>28</v>
      </c>
      <c r="C43" s="559">
        <f>C41+C37</f>
        <v>23467632.219999999</v>
      </c>
      <c r="D43" s="559"/>
      <c r="E43" s="389">
        <f>E37+E41</f>
        <v>1</v>
      </c>
      <c r="F43" s="391"/>
      <c r="G43" s="68"/>
      <c r="H43" s="68"/>
      <c r="I43" s="68"/>
      <c r="J43" s="68"/>
    </row>
    <row r="45" spans="2:22" s="80" customFormat="1" ht="16.5" x14ac:dyDescent="0.25">
      <c r="B45" s="280" t="s">
        <v>256</v>
      </c>
      <c r="C45" s="430"/>
      <c r="D45" s="431"/>
      <c r="E45" s="400"/>
      <c r="F45" s="400"/>
      <c r="G45" s="432"/>
      <c r="H45" s="433"/>
    </row>
    <row r="46" spans="2:22" s="80" customFormat="1" ht="16.5" x14ac:dyDescent="0.25">
      <c r="B46" s="434" t="s">
        <v>257</v>
      </c>
      <c r="C46" s="430"/>
      <c r="D46" s="431"/>
      <c r="E46" s="433"/>
      <c r="F46" s="433"/>
      <c r="G46" s="433"/>
      <c r="H46" s="433"/>
    </row>
  </sheetData>
  <mergeCells count="16">
    <mergeCell ref="C43:D43"/>
    <mergeCell ref="C33:D33"/>
    <mergeCell ref="C36:D36"/>
    <mergeCell ref="C38:D38"/>
    <mergeCell ref="B39:F39"/>
    <mergeCell ref="B42:F42"/>
    <mergeCell ref="C34:D34"/>
    <mergeCell ref="C35:D35"/>
    <mergeCell ref="C37:D37"/>
    <mergeCell ref="C40:D40"/>
    <mergeCell ref="C41:D41"/>
    <mergeCell ref="B2:F2"/>
    <mergeCell ref="C29:D29"/>
    <mergeCell ref="C30:D30"/>
    <mergeCell ref="C31:D31"/>
    <mergeCell ref="C32:D32"/>
  </mergeCells>
  <pageMargins left="0.7" right="0.7" top="0.75" bottom="0.75" header="0.3" footer="0.3"/>
  <pageSetup orientation="portrait"/>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A0DD26-F00E-486C-9292-DDF591E67BC8}">
  <sheetPr>
    <tabColor rgb="FFFFC000"/>
  </sheetPr>
  <dimension ref="B2:V46"/>
  <sheetViews>
    <sheetView showGridLines="0" topLeftCell="A10" zoomScale="85" zoomScaleNormal="85" workbookViewId="0">
      <selection activeCell="C30" sqref="C30:D30"/>
    </sheetView>
  </sheetViews>
  <sheetFormatPr defaultRowHeight="12.75" x14ac:dyDescent="0.2"/>
  <cols>
    <col min="2" max="2" width="36.28515625" bestFit="1" customWidth="1"/>
    <col min="4" max="4" width="15.7109375" bestFit="1" customWidth="1"/>
    <col min="5" max="5" width="13.42578125" customWidth="1"/>
    <col min="6" max="6" width="18.28515625" customWidth="1"/>
  </cols>
  <sheetData>
    <row r="2" spans="2:20" s="395" customFormat="1" ht="46.5" customHeight="1" x14ac:dyDescent="0.35">
      <c r="B2" s="601" t="s">
        <v>291</v>
      </c>
      <c r="C2" s="545"/>
      <c r="D2" s="545"/>
      <c r="E2" s="545"/>
      <c r="F2" s="545"/>
      <c r="G2" s="43"/>
      <c r="P2" s="396"/>
      <c r="Q2" s="396"/>
      <c r="R2" s="396"/>
      <c r="S2" s="396"/>
      <c r="T2" s="396"/>
    </row>
    <row r="29" spans="2:22" s="395" customFormat="1" ht="72.75" customHeight="1" x14ac:dyDescent="0.2">
      <c r="B29" s="403" t="s">
        <v>51</v>
      </c>
      <c r="C29" s="560" t="s">
        <v>192</v>
      </c>
      <c r="D29" s="560"/>
      <c r="E29" s="439" t="s">
        <v>146</v>
      </c>
      <c r="F29" s="401" t="s">
        <v>221</v>
      </c>
      <c r="G29" s="44"/>
      <c r="H29" s="44"/>
      <c r="I29" s="54"/>
      <c r="J29" s="55"/>
      <c r="P29" s="6"/>
      <c r="Q29" s="6"/>
      <c r="R29" s="8"/>
      <c r="S29" s="8"/>
      <c r="T29" s="56"/>
      <c r="U29" s="57"/>
      <c r="V29" s="8"/>
    </row>
    <row r="30" spans="2:22" s="395" customFormat="1" ht="21.75" customHeight="1" x14ac:dyDescent="0.25">
      <c r="B30" s="385" t="s">
        <v>222</v>
      </c>
      <c r="C30" s="554">
        <f>'ES CT Gas Table A'!I16+('ES CT Gas Table A'!I32*0.5)</f>
        <v>3437535.6548393928</v>
      </c>
      <c r="D30" s="554"/>
      <c r="E30" s="386">
        <f>SUM(C30/C43)</f>
        <v>0.19224589905414097</v>
      </c>
      <c r="F30" s="387">
        <f>C30/C37</f>
        <v>0.21193025647176086</v>
      </c>
      <c r="G30" s="58"/>
      <c r="H30" s="58"/>
      <c r="I30" s="55"/>
      <c r="J30" s="55"/>
      <c r="P30" s="6"/>
      <c r="Q30" s="6"/>
      <c r="R30" s="8"/>
      <c r="S30" s="8"/>
      <c r="T30" s="56"/>
      <c r="U30" s="57"/>
      <c r="V30" s="8"/>
    </row>
    <row r="31" spans="2:22" s="395" customFormat="1" ht="21" customHeight="1" x14ac:dyDescent="0.25">
      <c r="B31" s="385" t="s">
        <v>223</v>
      </c>
      <c r="C31" s="554">
        <f>'ES CT Gas Table A'!I47-C30</f>
        <v>6367102.5280760564</v>
      </c>
      <c r="D31" s="554"/>
      <c r="E31" s="386">
        <f>C31/C43</f>
        <v>0.35608339019164731</v>
      </c>
      <c r="F31" s="387">
        <f>C31/C37</f>
        <v>0.39254332383650609</v>
      </c>
      <c r="G31" s="58" t="s">
        <v>331</v>
      </c>
      <c r="H31" s="58"/>
      <c r="I31" s="55"/>
      <c r="J31" s="59"/>
      <c r="K31" s="60"/>
      <c r="L31" s="60"/>
      <c r="M31" s="60"/>
      <c r="N31" s="60"/>
      <c r="P31" s="6"/>
      <c r="Q31" s="6"/>
      <c r="R31" s="8"/>
      <c r="S31" s="8"/>
      <c r="T31" s="56"/>
      <c r="U31" s="57"/>
      <c r="V31" s="8"/>
    </row>
    <row r="32" spans="2:22" s="395" customFormat="1" ht="16.5" x14ac:dyDescent="0.25">
      <c r="B32" s="388" t="s">
        <v>54</v>
      </c>
      <c r="C32" s="555">
        <f>SUM(C30:D31)</f>
        <v>9804638.1829154491</v>
      </c>
      <c r="D32" s="555"/>
      <c r="E32" s="389">
        <f>SUM(E30:E31)</f>
        <v>0.54832928924578828</v>
      </c>
      <c r="F32" s="389">
        <f>SUM(F30:F31)</f>
        <v>0.60447358030826692</v>
      </c>
      <c r="G32" s="58"/>
      <c r="H32" s="58"/>
      <c r="I32" s="55"/>
      <c r="J32" s="55"/>
      <c r="P32" s="6"/>
      <c r="Q32" s="6"/>
      <c r="R32" s="8"/>
      <c r="S32" s="8"/>
      <c r="T32" s="56"/>
      <c r="U32" s="57"/>
      <c r="V32" s="8"/>
    </row>
    <row r="33" spans="2:22" s="395" customFormat="1" ht="16.5" x14ac:dyDescent="0.25">
      <c r="B33" s="390"/>
      <c r="C33" s="547"/>
      <c r="D33" s="548"/>
      <c r="E33" s="386"/>
      <c r="F33" s="387"/>
      <c r="G33" s="58"/>
      <c r="H33" s="58"/>
      <c r="I33" s="61"/>
      <c r="J33" s="61"/>
      <c r="P33" s="8"/>
      <c r="Q33" s="8"/>
      <c r="R33" s="8"/>
      <c r="S33" s="8"/>
      <c r="T33" s="8"/>
      <c r="U33" s="8"/>
      <c r="V33" s="8"/>
    </row>
    <row r="34" spans="2:22" s="395" customFormat="1" ht="16.5" x14ac:dyDescent="0.25">
      <c r="B34" s="385" t="s">
        <v>55</v>
      </c>
      <c r="C34" s="563">
        <f>'ES CT Gas Table A'!I48</f>
        <v>6415488.7214156222</v>
      </c>
      <c r="D34" s="563"/>
      <c r="E34" s="386">
        <f>SUM(C34/C43)</f>
        <v>0.35878941223021926</v>
      </c>
      <c r="F34" s="387">
        <f>SUM(C34/C37)</f>
        <v>0.39552641969173308</v>
      </c>
      <c r="G34" s="58"/>
      <c r="H34" s="58"/>
      <c r="I34" s="61"/>
      <c r="J34" s="61"/>
      <c r="P34" s="8"/>
      <c r="Q34" s="8"/>
      <c r="R34" s="8"/>
      <c r="S34" s="8"/>
      <c r="T34" s="8"/>
      <c r="U34" s="8"/>
      <c r="V34" s="8"/>
    </row>
    <row r="35" spans="2:22" s="395" customFormat="1" ht="16.5" x14ac:dyDescent="0.25">
      <c r="B35" s="388" t="s">
        <v>56</v>
      </c>
      <c r="C35" s="555">
        <f>SUM(C34)</f>
        <v>6415488.7214156222</v>
      </c>
      <c r="D35" s="555"/>
      <c r="E35" s="389">
        <f>SUM(E33:E34)</f>
        <v>0.35878941223021926</v>
      </c>
      <c r="F35" s="389">
        <f>SUM(F33:F34)</f>
        <v>0.39552641969173308</v>
      </c>
      <c r="G35" s="58"/>
      <c r="H35" s="58"/>
      <c r="I35" s="55"/>
      <c r="J35" s="62"/>
      <c r="P35" s="8"/>
      <c r="Q35" s="8"/>
      <c r="R35" s="8"/>
      <c r="S35" s="8"/>
      <c r="T35" s="8"/>
      <c r="U35" s="8"/>
      <c r="V35" s="8"/>
    </row>
    <row r="36" spans="2:22" s="395" customFormat="1" ht="16.5" x14ac:dyDescent="0.25">
      <c r="B36" s="391"/>
      <c r="C36" s="564"/>
      <c r="D36" s="565"/>
      <c r="E36" s="392"/>
      <c r="F36" s="392"/>
      <c r="G36" s="63"/>
      <c r="H36" s="63"/>
      <c r="I36" s="55"/>
      <c r="J36" s="62"/>
    </row>
    <row r="37" spans="2:22" s="395" customFormat="1" ht="16.5" x14ac:dyDescent="0.25">
      <c r="B37" s="388" t="s">
        <v>57</v>
      </c>
      <c r="C37" s="555">
        <f>SUM(C32+C35)</f>
        <v>16220126.904331071</v>
      </c>
      <c r="D37" s="555"/>
      <c r="E37" s="389">
        <f>SUM(E32+E35)</f>
        <v>0.90711870147600759</v>
      </c>
      <c r="F37" s="389">
        <f>SUM(F32+F35)</f>
        <v>1</v>
      </c>
      <c r="G37" s="58"/>
      <c r="H37" s="64"/>
      <c r="I37" s="55"/>
      <c r="J37" s="62"/>
    </row>
    <row r="38" spans="2:22" s="395" customFormat="1" ht="16.5" x14ac:dyDescent="0.25">
      <c r="B38" s="390"/>
      <c r="C38" s="547"/>
      <c r="D38" s="548"/>
      <c r="E38" s="387"/>
      <c r="F38" s="393"/>
      <c r="G38" s="65"/>
      <c r="H38" s="65"/>
      <c r="I38" s="55"/>
      <c r="J38" s="66"/>
    </row>
    <row r="39" spans="2:22" s="397" customFormat="1" ht="15" customHeight="1" x14ac:dyDescent="0.25">
      <c r="B39" s="549" t="s">
        <v>58</v>
      </c>
      <c r="C39" s="550"/>
      <c r="D39" s="550"/>
      <c r="E39" s="550"/>
      <c r="F39" s="551"/>
      <c r="G39" s="67"/>
      <c r="H39" s="69"/>
      <c r="I39" s="68"/>
      <c r="J39" s="68"/>
    </row>
    <row r="40" spans="2:22" s="397" customFormat="1" ht="26.25" customHeight="1" x14ac:dyDescent="0.25">
      <c r="B40" s="385" t="s">
        <v>58</v>
      </c>
      <c r="C40" s="554">
        <f>'ES CT Gas Table A'!I49</f>
        <v>1660804.0895274873</v>
      </c>
      <c r="D40" s="554"/>
      <c r="E40" s="386">
        <f>C40/C43</f>
        <v>9.2881298523992545E-2</v>
      </c>
      <c r="F40" s="391"/>
      <c r="G40" s="67"/>
      <c r="H40" s="69"/>
      <c r="I40" s="68"/>
      <c r="J40" s="68"/>
    </row>
    <row r="41" spans="2:22" s="397" customFormat="1" ht="19.5" customHeight="1" x14ac:dyDescent="0.25">
      <c r="B41" s="388" t="s">
        <v>59</v>
      </c>
      <c r="C41" s="555">
        <f>SUM(C40)</f>
        <v>1660804.0895274873</v>
      </c>
      <c r="D41" s="555"/>
      <c r="E41" s="389">
        <f>SUM(E40)</f>
        <v>9.2881298523992545E-2</v>
      </c>
      <c r="F41" s="394"/>
      <c r="G41" s="67"/>
      <c r="H41" s="70"/>
      <c r="I41" s="68"/>
      <c r="J41" s="68"/>
    </row>
    <row r="42" spans="2:22" s="397" customFormat="1" ht="16.5" x14ac:dyDescent="0.25">
      <c r="B42" s="556"/>
      <c r="C42" s="557"/>
      <c r="D42" s="557"/>
      <c r="E42" s="557"/>
      <c r="F42" s="558"/>
      <c r="G42" s="71"/>
      <c r="H42" s="72"/>
      <c r="I42" s="68"/>
      <c r="J42" s="68"/>
    </row>
    <row r="43" spans="2:22" s="397" customFormat="1" ht="16.5" x14ac:dyDescent="0.25">
      <c r="B43" s="394" t="s">
        <v>28</v>
      </c>
      <c r="C43" s="559">
        <f>C41+C37</f>
        <v>17880930.993858557</v>
      </c>
      <c r="D43" s="559"/>
      <c r="E43" s="389">
        <f>E37+E41</f>
        <v>1.0000000000000002</v>
      </c>
      <c r="F43" s="391"/>
      <c r="G43" s="68"/>
      <c r="H43" s="68"/>
      <c r="I43" s="68"/>
      <c r="J43" s="68"/>
    </row>
    <row r="45" spans="2:22" s="80" customFormat="1" ht="16.5" x14ac:dyDescent="0.25">
      <c r="B45" s="280" t="s">
        <v>256</v>
      </c>
      <c r="C45" s="430"/>
      <c r="D45" s="431"/>
      <c r="E45" s="400"/>
      <c r="F45" s="400"/>
      <c r="G45" s="432"/>
      <c r="H45" s="433"/>
    </row>
    <row r="46" spans="2:22" s="80" customFormat="1" ht="16.5" x14ac:dyDescent="0.25">
      <c r="B46" s="434" t="s">
        <v>257</v>
      </c>
      <c r="C46" s="430"/>
      <c r="D46" s="431"/>
      <c r="E46" s="433"/>
      <c r="F46" s="433"/>
      <c r="G46" s="433"/>
      <c r="H46" s="433"/>
    </row>
  </sheetData>
  <mergeCells count="16">
    <mergeCell ref="C33:D33"/>
    <mergeCell ref="B2:F2"/>
    <mergeCell ref="C29:D29"/>
    <mergeCell ref="C30:D30"/>
    <mergeCell ref="C31:D31"/>
    <mergeCell ref="C32:D32"/>
    <mergeCell ref="C40:D40"/>
    <mergeCell ref="C41:D41"/>
    <mergeCell ref="B42:F42"/>
    <mergeCell ref="C43:D43"/>
    <mergeCell ref="C34:D34"/>
    <mergeCell ref="C35:D35"/>
    <mergeCell ref="C36:D36"/>
    <mergeCell ref="C37:D37"/>
    <mergeCell ref="C38:D38"/>
    <mergeCell ref="B39:F39"/>
  </mergeCells>
  <pageMargins left="0.7" right="0.7" top="0.75" bottom="0.75" header="0.3" footer="0.3"/>
  <pageSetup orientation="portrait"/>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BD74C6-B930-4029-BD25-D16EB8BE81E9}">
  <sheetPr>
    <tabColor rgb="FFFFC000"/>
  </sheetPr>
  <dimension ref="B2:V46"/>
  <sheetViews>
    <sheetView showGridLines="0" zoomScale="85" zoomScaleNormal="85" workbookViewId="0">
      <selection activeCell="C30" sqref="C30:D30"/>
    </sheetView>
  </sheetViews>
  <sheetFormatPr defaultRowHeight="12.75" x14ac:dyDescent="0.2"/>
  <cols>
    <col min="2" max="2" width="36.28515625" bestFit="1" customWidth="1"/>
    <col min="4" max="4" width="15.7109375" bestFit="1" customWidth="1"/>
    <col min="5" max="5" width="13.42578125" customWidth="1"/>
    <col min="6" max="6" width="18.28515625" customWidth="1"/>
  </cols>
  <sheetData>
    <row r="2" spans="2:20" s="395" customFormat="1" ht="46.5" customHeight="1" x14ac:dyDescent="0.35">
      <c r="B2" s="601" t="s">
        <v>292</v>
      </c>
      <c r="C2" s="545"/>
      <c r="D2" s="545"/>
      <c r="E2" s="545"/>
      <c r="F2" s="545"/>
      <c r="G2" s="43"/>
      <c r="P2" s="396"/>
      <c r="Q2" s="396"/>
      <c r="R2" s="396"/>
      <c r="S2" s="396"/>
      <c r="T2" s="396"/>
    </row>
    <row r="29" spans="2:22" s="395" customFormat="1" ht="72.75" customHeight="1" x14ac:dyDescent="0.2">
      <c r="B29" s="403" t="s">
        <v>51</v>
      </c>
      <c r="C29" s="560" t="s">
        <v>192</v>
      </c>
      <c r="D29" s="560"/>
      <c r="E29" s="439" t="s">
        <v>146</v>
      </c>
      <c r="F29" s="401" t="s">
        <v>221</v>
      </c>
      <c r="G29" s="44"/>
      <c r="H29" s="44"/>
      <c r="I29" s="54"/>
      <c r="J29" s="55"/>
      <c r="P29" s="6"/>
      <c r="Q29" s="6"/>
      <c r="R29" s="8"/>
      <c r="S29" s="8"/>
      <c r="T29" s="56"/>
      <c r="U29" s="57"/>
      <c r="V29" s="8"/>
    </row>
    <row r="30" spans="2:22" s="395" customFormat="1" ht="21.75" customHeight="1" x14ac:dyDescent="0.25">
      <c r="B30" s="385" t="s">
        <v>222</v>
      </c>
      <c r="C30" s="554">
        <f>'ES CT Gas Table A'!L16+('ES CT Gas Table A'!L32*0.5)</f>
        <v>5088482.144839393</v>
      </c>
      <c r="D30" s="554"/>
      <c r="E30" s="386">
        <f>SUM(C30/C43)</f>
        <v>0.21590317110760401</v>
      </c>
      <c r="F30" s="387">
        <f>C30/C37</f>
        <v>0.23517808647615149</v>
      </c>
      <c r="G30" s="58"/>
      <c r="H30" s="58"/>
      <c r="I30" s="55"/>
      <c r="J30" s="55"/>
      <c r="P30" s="6"/>
      <c r="Q30" s="6"/>
      <c r="R30" s="8"/>
      <c r="S30" s="8"/>
      <c r="T30" s="56"/>
      <c r="U30" s="57"/>
      <c r="V30" s="8"/>
    </row>
    <row r="31" spans="2:22" s="395" customFormat="1" ht="21" customHeight="1" x14ac:dyDescent="0.25">
      <c r="B31" s="385" t="s">
        <v>223</v>
      </c>
      <c r="C31" s="554">
        <f>'ES CT Gas Table A'!L47-C30</f>
        <v>6908532.5280760564</v>
      </c>
      <c r="D31" s="554"/>
      <c r="E31" s="386">
        <f>C31/C43</f>
        <v>0.29312750601362902</v>
      </c>
      <c r="F31" s="387">
        <f>C31/C37</f>
        <v>0.31929668102676567</v>
      </c>
      <c r="G31" s="58"/>
      <c r="H31" s="58"/>
      <c r="I31" s="55"/>
      <c r="J31" s="59"/>
      <c r="K31" s="60"/>
      <c r="L31" s="60"/>
      <c r="M31" s="60"/>
      <c r="N31" s="60"/>
      <c r="P31" s="6"/>
      <c r="Q31" s="6"/>
      <c r="R31" s="8"/>
      <c r="S31" s="8"/>
      <c r="T31" s="56"/>
      <c r="U31" s="57"/>
      <c r="V31" s="8"/>
    </row>
    <row r="32" spans="2:22" s="395" customFormat="1" ht="16.5" x14ac:dyDescent="0.25">
      <c r="B32" s="388" t="s">
        <v>54</v>
      </c>
      <c r="C32" s="555">
        <f>SUM(C30:D31)</f>
        <v>11997014.672915449</v>
      </c>
      <c r="D32" s="555"/>
      <c r="E32" s="389">
        <f>SUM(E30:E31)</f>
        <v>0.50903067712123307</v>
      </c>
      <c r="F32" s="389">
        <f>SUM(F30:F31)</f>
        <v>0.55447476750291713</v>
      </c>
      <c r="G32" s="58"/>
      <c r="H32" s="58"/>
      <c r="I32" s="55"/>
      <c r="J32" s="55"/>
      <c r="P32" s="6"/>
      <c r="Q32" s="6"/>
      <c r="R32" s="8"/>
      <c r="S32" s="8"/>
      <c r="T32" s="56"/>
      <c r="U32" s="57"/>
      <c r="V32" s="8"/>
    </row>
    <row r="33" spans="2:22" s="395" customFormat="1" ht="16.5" x14ac:dyDescent="0.25">
      <c r="B33" s="390"/>
      <c r="C33" s="547"/>
      <c r="D33" s="548"/>
      <c r="E33" s="386"/>
      <c r="F33" s="387"/>
      <c r="G33" s="58"/>
      <c r="H33" s="58"/>
      <c r="I33" s="61"/>
      <c r="J33" s="61"/>
      <c r="P33" s="8"/>
      <c r="Q33" s="8"/>
      <c r="R33" s="8"/>
      <c r="S33" s="8"/>
      <c r="T33" s="8"/>
      <c r="U33" s="8"/>
      <c r="V33" s="8"/>
    </row>
    <row r="34" spans="2:22" s="395" customFormat="1" ht="16.5" x14ac:dyDescent="0.25">
      <c r="B34" s="385" t="s">
        <v>55</v>
      </c>
      <c r="C34" s="563">
        <f>'ES CT Gas Table A'!L48</f>
        <v>9639704.2114156242</v>
      </c>
      <c r="D34" s="563"/>
      <c r="E34" s="386">
        <f>SUM(C34/C43)</f>
        <v>0.40901051601305138</v>
      </c>
      <c r="F34" s="387">
        <f>SUM(C34/C37)</f>
        <v>0.44552523249708281</v>
      </c>
      <c r="G34" s="58"/>
      <c r="H34" s="58"/>
      <c r="I34" s="61"/>
      <c r="J34" s="61"/>
      <c r="P34" s="8"/>
      <c r="Q34" s="8"/>
      <c r="R34" s="8"/>
      <c r="S34" s="8"/>
      <c r="T34" s="8"/>
      <c r="U34" s="8"/>
      <c r="V34" s="8"/>
    </row>
    <row r="35" spans="2:22" s="395" customFormat="1" ht="16.5" x14ac:dyDescent="0.25">
      <c r="B35" s="388" t="s">
        <v>56</v>
      </c>
      <c r="C35" s="555">
        <f>SUM(C34)</f>
        <v>9639704.2114156242</v>
      </c>
      <c r="D35" s="555"/>
      <c r="E35" s="389">
        <f>SUM(E33:E34)</f>
        <v>0.40901051601305138</v>
      </c>
      <c r="F35" s="389">
        <f>SUM(F33:F34)</f>
        <v>0.44552523249708281</v>
      </c>
      <c r="G35" s="58"/>
      <c r="H35" s="58"/>
      <c r="I35" s="55"/>
      <c r="J35" s="62"/>
      <c r="P35" s="8"/>
      <c r="Q35" s="8"/>
      <c r="R35" s="8"/>
      <c r="S35" s="8"/>
      <c r="T35" s="8"/>
      <c r="U35" s="8"/>
      <c r="V35" s="8"/>
    </row>
    <row r="36" spans="2:22" s="395" customFormat="1" ht="16.5" x14ac:dyDescent="0.25">
      <c r="B36" s="391"/>
      <c r="C36" s="564"/>
      <c r="D36" s="565"/>
      <c r="E36" s="392"/>
      <c r="F36" s="392"/>
      <c r="G36" s="63"/>
      <c r="H36" s="63"/>
      <c r="I36" s="55"/>
      <c r="J36" s="62"/>
    </row>
    <row r="37" spans="2:22" s="395" customFormat="1" ht="16.5" x14ac:dyDescent="0.25">
      <c r="B37" s="388" t="s">
        <v>57</v>
      </c>
      <c r="C37" s="555">
        <f>SUM(C32+C35)</f>
        <v>21636718.884331074</v>
      </c>
      <c r="D37" s="555"/>
      <c r="E37" s="389">
        <f>SUM(E32+E35)</f>
        <v>0.91804119313428445</v>
      </c>
      <c r="F37" s="389">
        <f>SUM(F32+F35)</f>
        <v>1</v>
      </c>
      <c r="G37" s="58"/>
      <c r="H37" s="64"/>
      <c r="I37" s="55"/>
      <c r="J37" s="62"/>
    </row>
    <row r="38" spans="2:22" s="395" customFormat="1" ht="16.5" x14ac:dyDescent="0.25">
      <c r="B38" s="390"/>
      <c r="C38" s="547"/>
      <c r="D38" s="548"/>
      <c r="E38" s="387"/>
      <c r="F38" s="393"/>
      <c r="G38" s="65"/>
      <c r="H38" s="65"/>
      <c r="I38" s="55"/>
      <c r="J38" s="66"/>
    </row>
    <row r="39" spans="2:22" s="397" customFormat="1" ht="15" customHeight="1" x14ac:dyDescent="0.25">
      <c r="B39" s="549" t="s">
        <v>58</v>
      </c>
      <c r="C39" s="550"/>
      <c r="D39" s="550"/>
      <c r="E39" s="550"/>
      <c r="F39" s="551"/>
      <c r="G39" s="67"/>
      <c r="H39" s="69"/>
      <c r="I39" s="68"/>
      <c r="J39" s="68"/>
    </row>
    <row r="40" spans="2:22" s="397" customFormat="1" ht="26.25" customHeight="1" x14ac:dyDescent="0.25">
      <c r="B40" s="385" t="s">
        <v>58</v>
      </c>
      <c r="C40" s="554">
        <f>'ES CT Gas Table A'!L49</f>
        <v>1931634.0895274873</v>
      </c>
      <c r="D40" s="554"/>
      <c r="E40" s="386">
        <f>C40/C43</f>
        <v>8.1958806865715578E-2</v>
      </c>
      <c r="F40" s="391"/>
      <c r="G40" s="67"/>
      <c r="H40" s="69"/>
      <c r="I40" s="68"/>
      <c r="J40" s="68"/>
    </row>
    <row r="41" spans="2:22" s="397" customFormat="1" ht="19.5" customHeight="1" x14ac:dyDescent="0.25">
      <c r="B41" s="388" t="s">
        <v>59</v>
      </c>
      <c r="C41" s="555">
        <f>SUM(C40)</f>
        <v>1931634.0895274873</v>
      </c>
      <c r="D41" s="555"/>
      <c r="E41" s="389">
        <f>SUM(E40)</f>
        <v>8.1958806865715578E-2</v>
      </c>
      <c r="F41" s="394"/>
      <c r="G41" s="67"/>
      <c r="H41" s="70"/>
      <c r="I41" s="68"/>
      <c r="J41" s="68"/>
    </row>
    <row r="42" spans="2:22" s="397" customFormat="1" ht="16.5" x14ac:dyDescent="0.25">
      <c r="B42" s="556"/>
      <c r="C42" s="557"/>
      <c r="D42" s="557"/>
      <c r="E42" s="557"/>
      <c r="F42" s="558"/>
      <c r="G42" s="71"/>
      <c r="H42" s="72"/>
      <c r="I42" s="68"/>
      <c r="J42" s="68"/>
    </row>
    <row r="43" spans="2:22" s="397" customFormat="1" ht="16.5" x14ac:dyDescent="0.25">
      <c r="B43" s="394" t="s">
        <v>28</v>
      </c>
      <c r="C43" s="559">
        <f>C41+C37</f>
        <v>23568352.973858561</v>
      </c>
      <c r="D43" s="559"/>
      <c r="E43" s="389">
        <f>E37+E41</f>
        <v>1</v>
      </c>
      <c r="F43" s="391"/>
      <c r="G43" s="68"/>
      <c r="H43" s="68"/>
      <c r="I43" s="68"/>
      <c r="J43" s="68"/>
    </row>
    <row r="45" spans="2:22" s="80" customFormat="1" ht="16.5" x14ac:dyDescent="0.25">
      <c r="B45" s="280" t="s">
        <v>256</v>
      </c>
      <c r="C45" s="430"/>
      <c r="D45" s="431"/>
      <c r="E45" s="400"/>
      <c r="F45" s="400"/>
      <c r="G45" s="432"/>
      <c r="H45" s="433"/>
    </row>
    <row r="46" spans="2:22" s="80" customFormat="1" ht="16.5" x14ac:dyDescent="0.25">
      <c r="B46" s="434" t="s">
        <v>257</v>
      </c>
      <c r="C46" s="430"/>
      <c r="D46" s="431"/>
      <c r="E46" s="433"/>
      <c r="F46" s="433"/>
      <c r="G46" s="433"/>
      <c r="H46" s="433"/>
    </row>
  </sheetData>
  <mergeCells count="16">
    <mergeCell ref="C33:D33"/>
    <mergeCell ref="B2:F2"/>
    <mergeCell ref="C29:D29"/>
    <mergeCell ref="C30:D30"/>
    <mergeCell ref="C31:D31"/>
    <mergeCell ref="C32:D32"/>
    <mergeCell ref="C40:D40"/>
    <mergeCell ref="C41:D41"/>
    <mergeCell ref="B42:F42"/>
    <mergeCell ref="C43:D43"/>
    <mergeCell ref="C34:D34"/>
    <mergeCell ref="C35:D35"/>
    <mergeCell ref="C36:D36"/>
    <mergeCell ref="C37:D37"/>
    <mergeCell ref="C38:D38"/>
    <mergeCell ref="B39:F39"/>
  </mergeCells>
  <pageMargins left="0.7" right="0.7" top="0.75" bottom="0.75" header="0.3" footer="0.3"/>
  <pageSetup orientation="portrait"/>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859D76-EEC2-429B-8CA8-2D4C9363C22B}">
  <sheetPr>
    <tabColor rgb="FFFFC000"/>
  </sheetPr>
  <dimension ref="B2:V46"/>
  <sheetViews>
    <sheetView showGridLines="0" zoomScale="85" zoomScaleNormal="85" workbookViewId="0">
      <selection activeCell="C30" sqref="C30:D30"/>
    </sheetView>
  </sheetViews>
  <sheetFormatPr defaultRowHeight="12.75" x14ac:dyDescent="0.2"/>
  <cols>
    <col min="2" max="2" width="36.28515625" bestFit="1" customWidth="1"/>
    <col min="4" max="4" width="15.7109375" bestFit="1" customWidth="1"/>
    <col min="5" max="5" width="13.42578125" customWidth="1"/>
    <col min="6" max="6" width="18.28515625" customWidth="1"/>
  </cols>
  <sheetData>
    <row r="2" spans="2:20" s="395" customFormat="1" ht="46.5" customHeight="1" x14ac:dyDescent="0.35">
      <c r="B2" s="601" t="s">
        <v>293</v>
      </c>
      <c r="C2" s="545"/>
      <c r="D2" s="545"/>
      <c r="E2" s="545"/>
      <c r="F2" s="545"/>
      <c r="G2" s="43"/>
      <c r="P2" s="396"/>
      <c r="Q2" s="396"/>
      <c r="R2" s="396"/>
      <c r="S2" s="396"/>
      <c r="T2" s="396"/>
    </row>
    <row r="29" spans="2:22" s="395" customFormat="1" ht="72.75" customHeight="1" x14ac:dyDescent="0.2">
      <c r="B29" s="403" t="s">
        <v>51</v>
      </c>
      <c r="C29" s="560" t="s">
        <v>192</v>
      </c>
      <c r="D29" s="560"/>
      <c r="E29" s="439" t="s">
        <v>146</v>
      </c>
      <c r="F29" s="401" t="s">
        <v>221</v>
      </c>
      <c r="G29" s="44"/>
      <c r="H29" s="44"/>
      <c r="I29" s="54"/>
      <c r="J29" s="55"/>
      <c r="P29" s="6"/>
      <c r="Q29" s="6"/>
      <c r="R29" s="8"/>
      <c r="S29" s="8"/>
      <c r="T29" s="56"/>
      <c r="U29" s="57"/>
      <c r="V29" s="8"/>
    </row>
    <row r="30" spans="2:22" s="395" customFormat="1" ht="21.75" customHeight="1" x14ac:dyDescent="0.25">
      <c r="B30" s="385" t="s">
        <v>222</v>
      </c>
      <c r="C30" s="554">
        <f>'ES CT Gas Table A'!N16+('ES CT Gas Table A'!N32*0.5)</f>
        <v>5151206.144839393</v>
      </c>
      <c r="D30" s="554"/>
      <c r="E30" s="386">
        <f>SUM(C30/C43)</f>
        <v>0.21517945497097102</v>
      </c>
      <c r="F30" s="387">
        <f>C30/C37</f>
        <v>0.23425404778607153</v>
      </c>
      <c r="G30" s="58"/>
      <c r="H30" s="58"/>
      <c r="I30" s="55"/>
      <c r="J30" s="55"/>
      <c r="P30" s="6"/>
      <c r="Q30" s="6"/>
      <c r="R30" s="8"/>
      <c r="S30" s="8"/>
      <c r="T30" s="56"/>
      <c r="U30" s="57"/>
      <c r="V30" s="8"/>
    </row>
    <row r="31" spans="2:22" s="395" customFormat="1" ht="21" customHeight="1" x14ac:dyDescent="0.25">
      <c r="B31" s="385" t="s">
        <v>223</v>
      </c>
      <c r="C31" s="554">
        <f>'ES CT Gas Table A'!N47-C30</f>
        <v>7196716.3266529143</v>
      </c>
      <c r="D31" s="554"/>
      <c r="E31" s="386">
        <f>C31/C43</f>
        <v>0.30062580553124907</v>
      </c>
      <c r="F31" s="387">
        <f>C31/C37</f>
        <v>0.32727479407429449</v>
      </c>
      <c r="G31" s="58" t="s">
        <v>332</v>
      </c>
      <c r="H31" s="58"/>
      <c r="I31" s="55"/>
      <c r="J31" s="59"/>
      <c r="K31" s="60"/>
      <c r="L31" s="60"/>
      <c r="M31" s="60"/>
      <c r="N31" s="60"/>
      <c r="P31" s="6"/>
      <c r="Q31" s="6"/>
      <c r="R31" s="8"/>
      <c r="S31" s="8"/>
      <c r="T31" s="56"/>
      <c r="U31" s="57"/>
      <c r="V31" s="8"/>
    </row>
    <row r="32" spans="2:22" s="395" customFormat="1" ht="16.5" x14ac:dyDescent="0.25">
      <c r="B32" s="388" t="s">
        <v>54</v>
      </c>
      <c r="C32" s="555">
        <f>SUM(C30:D31)</f>
        <v>12347922.471492307</v>
      </c>
      <c r="D32" s="555"/>
      <c r="E32" s="389">
        <f>SUM(E30:E31)</f>
        <v>0.51580526050222009</v>
      </c>
      <c r="F32" s="389">
        <f>SUM(F30:F31)</f>
        <v>0.561528841860366</v>
      </c>
      <c r="G32" s="58"/>
      <c r="H32" s="58"/>
      <c r="I32" s="55"/>
      <c r="J32" s="55"/>
      <c r="P32" s="6"/>
      <c r="Q32" s="6"/>
      <c r="R32" s="8"/>
      <c r="S32" s="8"/>
      <c r="T32" s="56"/>
      <c r="U32" s="57"/>
      <c r="V32" s="8"/>
    </row>
    <row r="33" spans="2:22" s="395" customFormat="1" ht="16.5" x14ac:dyDescent="0.25">
      <c r="B33" s="390"/>
      <c r="C33" s="547"/>
      <c r="D33" s="548"/>
      <c r="E33" s="386"/>
      <c r="F33" s="387"/>
      <c r="G33" s="58"/>
      <c r="H33" s="58"/>
      <c r="I33" s="61"/>
      <c r="J33" s="61"/>
      <c r="P33" s="8"/>
      <c r="Q33" s="8"/>
      <c r="R33" s="8"/>
      <c r="S33" s="8"/>
      <c r="T33" s="8"/>
      <c r="U33" s="8"/>
      <c r="V33" s="8"/>
    </row>
    <row r="34" spans="2:22" s="395" customFormat="1" ht="16.5" x14ac:dyDescent="0.25">
      <c r="B34" s="385" t="s">
        <v>55</v>
      </c>
      <c r="C34" s="563">
        <f>'ES CT Gas Table A'!N48</f>
        <v>9641905.2114156242</v>
      </c>
      <c r="D34" s="563"/>
      <c r="E34" s="386">
        <f>SUM(C34/C43)</f>
        <v>0.40276778873481994</v>
      </c>
      <c r="F34" s="387">
        <f>SUM(C34/C37)</f>
        <v>0.43847115813963394</v>
      </c>
      <c r="G34" s="58"/>
      <c r="H34" s="58"/>
      <c r="I34" s="61"/>
      <c r="J34" s="61"/>
      <c r="P34" s="8"/>
      <c r="Q34" s="8"/>
      <c r="R34" s="8"/>
      <c r="S34" s="8"/>
      <c r="T34" s="8"/>
      <c r="U34" s="8"/>
      <c r="V34" s="8"/>
    </row>
    <row r="35" spans="2:22" s="395" customFormat="1" ht="16.5" x14ac:dyDescent="0.25">
      <c r="B35" s="388" t="s">
        <v>56</v>
      </c>
      <c r="C35" s="555">
        <f>SUM(C34)</f>
        <v>9641905.2114156242</v>
      </c>
      <c r="D35" s="555"/>
      <c r="E35" s="389">
        <f>SUM(E33:E34)</f>
        <v>0.40276778873481994</v>
      </c>
      <c r="F35" s="389">
        <f>SUM(F33:F34)</f>
        <v>0.43847115813963394</v>
      </c>
      <c r="G35" s="58"/>
      <c r="H35" s="58"/>
      <c r="I35" s="55"/>
      <c r="J35" s="62"/>
      <c r="P35" s="8"/>
      <c r="Q35" s="8"/>
      <c r="R35" s="8"/>
      <c r="S35" s="8"/>
      <c r="T35" s="8"/>
      <c r="U35" s="8"/>
      <c r="V35" s="8"/>
    </row>
    <row r="36" spans="2:22" s="395" customFormat="1" ht="16.5" x14ac:dyDescent="0.25">
      <c r="B36" s="391"/>
      <c r="C36" s="564"/>
      <c r="D36" s="565"/>
      <c r="E36" s="392"/>
      <c r="F36" s="392"/>
      <c r="G36" s="63"/>
      <c r="H36" s="63"/>
      <c r="I36" s="55"/>
      <c r="J36" s="62"/>
    </row>
    <row r="37" spans="2:22" s="395" customFormat="1" ht="16.5" x14ac:dyDescent="0.25">
      <c r="B37" s="388" t="s">
        <v>57</v>
      </c>
      <c r="C37" s="555">
        <f>SUM(C32+C35)</f>
        <v>21989827.682907932</v>
      </c>
      <c r="D37" s="555"/>
      <c r="E37" s="389">
        <f>SUM(E32+E35)</f>
        <v>0.91857304923704008</v>
      </c>
      <c r="F37" s="389">
        <f>SUM(F32+F35)</f>
        <v>1</v>
      </c>
      <c r="G37" s="58"/>
      <c r="H37" s="64"/>
      <c r="I37" s="55"/>
      <c r="J37" s="62"/>
    </row>
    <row r="38" spans="2:22" s="395" customFormat="1" ht="16.5" x14ac:dyDescent="0.25">
      <c r="B38" s="390"/>
      <c r="C38" s="547"/>
      <c r="D38" s="548"/>
      <c r="E38" s="387"/>
      <c r="F38" s="393"/>
      <c r="G38" s="65"/>
      <c r="H38" s="65"/>
      <c r="I38" s="55"/>
      <c r="J38" s="66"/>
    </row>
    <row r="39" spans="2:22" s="397" customFormat="1" ht="15" customHeight="1" x14ac:dyDescent="0.25">
      <c r="B39" s="549" t="s">
        <v>58</v>
      </c>
      <c r="C39" s="550"/>
      <c r="D39" s="550"/>
      <c r="E39" s="550"/>
      <c r="F39" s="551"/>
      <c r="G39" s="67"/>
      <c r="H39" s="69"/>
      <c r="I39" s="68"/>
      <c r="J39" s="68"/>
    </row>
    <row r="40" spans="2:22" s="397" customFormat="1" ht="26.25" customHeight="1" x14ac:dyDescent="0.25">
      <c r="B40" s="385" t="s">
        <v>58</v>
      </c>
      <c r="C40" s="554">
        <f>'ES CT Gas Table A'!N49</f>
        <v>1949289.2998649871</v>
      </c>
      <c r="D40" s="554"/>
      <c r="E40" s="386">
        <f>C40/C43</f>
        <v>8.1426950762959874E-2</v>
      </c>
      <c r="F40" s="391"/>
      <c r="G40" s="67"/>
      <c r="H40" s="69"/>
      <c r="I40" s="68"/>
      <c r="J40" s="68"/>
    </row>
    <row r="41" spans="2:22" s="397" customFormat="1" ht="19.5" customHeight="1" x14ac:dyDescent="0.25">
      <c r="B41" s="388" t="s">
        <v>59</v>
      </c>
      <c r="C41" s="555">
        <f>SUM(C40)</f>
        <v>1949289.2998649871</v>
      </c>
      <c r="D41" s="555"/>
      <c r="E41" s="389">
        <f>SUM(E40)</f>
        <v>8.1426950762959874E-2</v>
      </c>
      <c r="F41" s="394"/>
      <c r="G41" s="67"/>
      <c r="H41" s="70"/>
      <c r="I41" s="68"/>
      <c r="J41" s="68"/>
    </row>
    <row r="42" spans="2:22" s="397" customFormat="1" ht="16.5" x14ac:dyDescent="0.25">
      <c r="B42" s="556"/>
      <c r="C42" s="557"/>
      <c r="D42" s="557"/>
      <c r="E42" s="557"/>
      <c r="F42" s="558"/>
      <c r="G42" s="71"/>
      <c r="H42" s="72"/>
      <c r="I42" s="68"/>
      <c r="J42" s="68"/>
    </row>
    <row r="43" spans="2:22" s="397" customFormat="1" ht="16.5" x14ac:dyDescent="0.25">
      <c r="B43" s="394" t="s">
        <v>28</v>
      </c>
      <c r="C43" s="559">
        <f>C41+C37</f>
        <v>23939116.98277292</v>
      </c>
      <c r="D43" s="559"/>
      <c r="E43" s="389">
        <f>E37+E41</f>
        <v>1</v>
      </c>
      <c r="F43" s="391"/>
      <c r="G43" s="68"/>
      <c r="H43" s="68"/>
      <c r="I43" s="68"/>
      <c r="J43" s="68"/>
    </row>
    <row r="45" spans="2:22" s="80" customFormat="1" ht="16.5" x14ac:dyDescent="0.25">
      <c r="B45" s="280" t="s">
        <v>256</v>
      </c>
      <c r="C45" s="430"/>
      <c r="D45" s="431"/>
      <c r="E45" s="400"/>
      <c r="F45" s="400"/>
      <c r="G45" s="432"/>
      <c r="H45" s="433"/>
    </row>
    <row r="46" spans="2:22" s="80" customFormat="1" ht="16.5" x14ac:dyDescent="0.25">
      <c r="B46" s="434" t="s">
        <v>257</v>
      </c>
      <c r="C46" s="430"/>
      <c r="D46" s="431"/>
      <c r="E46" s="433"/>
      <c r="F46" s="433"/>
      <c r="G46" s="433"/>
      <c r="H46" s="433"/>
    </row>
  </sheetData>
  <mergeCells count="16">
    <mergeCell ref="C33:D33"/>
    <mergeCell ref="B2:F2"/>
    <mergeCell ref="C29:D29"/>
    <mergeCell ref="C30:D30"/>
    <mergeCell ref="C31:D31"/>
    <mergeCell ref="C32:D32"/>
    <mergeCell ref="C40:D40"/>
    <mergeCell ref="C41:D41"/>
    <mergeCell ref="B42:F42"/>
    <mergeCell ref="C43:D43"/>
    <mergeCell ref="C34:D34"/>
    <mergeCell ref="C35:D35"/>
    <mergeCell ref="C36:D36"/>
    <mergeCell ref="C37:D37"/>
    <mergeCell ref="C38:D38"/>
    <mergeCell ref="B39:F39"/>
  </mergeCells>
  <pageMargins left="0.7" right="0.7" top="0.75" bottom="0.75" header="0.3" footer="0.3"/>
  <pageSetup orientation="portrait"/>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C000"/>
    <pageSetUpPr fitToPage="1"/>
  </sheetPr>
  <dimension ref="A2:R58"/>
  <sheetViews>
    <sheetView showGridLines="0" topLeftCell="B1" zoomScale="90" zoomScaleNormal="90" workbookViewId="0">
      <pane ySplit="6" topLeftCell="A7" activePane="bottomLeft" state="frozen"/>
      <selection activeCell="M8" sqref="M8"/>
      <selection pane="bottomLeft" activeCell="D9" sqref="D9"/>
    </sheetView>
  </sheetViews>
  <sheetFormatPr defaultRowHeight="15.75" x14ac:dyDescent="0.25"/>
  <cols>
    <col min="1" max="1" width="7.140625" style="17" hidden="1" customWidth="1"/>
    <col min="2" max="2" width="7.140625" style="17" customWidth="1"/>
    <col min="3" max="3" width="61.28515625" style="17" customWidth="1"/>
    <col min="4" max="4" width="19.85546875" style="28" customWidth="1"/>
    <col min="5" max="5" width="18" style="30" customWidth="1"/>
    <col min="6" max="6" width="20.85546875" style="28" bestFit="1" customWidth="1"/>
    <col min="7" max="7" width="18" style="30" customWidth="1"/>
    <col min="8" max="8" width="20.7109375" style="17" customWidth="1"/>
    <col min="9" max="9" width="16.5703125" style="17" customWidth="1"/>
    <col min="10" max="11" width="20.42578125" style="17" customWidth="1"/>
    <col min="12" max="12" width="21.140625" style="17" customWidth="1"/>
    <col min="13" max="13" width="17.7109375" style="17" customWidth="1"/>
    <col min="14" max="14" width="12.42578125" style="17" customWidth="1"/>
    <col min="15" max="15" width="9.140625" style="17" customWidth="1"/>
    <col min="16" max="16" width="10" style="17" hidden="1" customWidth="1"/>
    <col min="17" max="17" width="13.140625" style="17" hidden="1" customWidth="1"/>
    <col min="18" max="19" width="8.85546875" style="17" customWidth="1"/>
    <col min="20" max="239" width="8.85546875" style="17"/>
    <col min="240" max="240" width="7.140625" style="17" customWidth="1"/>
    <col min="241" max="241" width="54.5703125" style="17" customWidth="1"/>
    <col min="242" max="242" width="19.85546875" style="17" customWidth="1"/>
    <col min="243" max="243" width="18" style="17" customWidth="1"/>
    <col min="244" max="244" width="20.85546875" style="17" bestFit="1" customWidth="1"/>
    <col min="245" max="245" width="17.42578125" style="17" customWidth="1"/>
    <col min="246" max="246" width="16.5703125" style="17" customWidth="1"/>
    <col min="247" max="247" width="20.42578125" style="17" customWidth="1"/>
    <col min="248" max="248" width="21.140625" style="17" customWidth="1"/>
    <col min="249" max="258" width="0" style="17" hidden="1" customWidth="1"/>
    <col min="259" max="259" width="19" style="17" customWidth="1"/>
    <col min="260" max="260" width="12" style="17" customWidth="1"/>
    <col min="261" max="263" width="8.85546875" style="17"/>
    <col min="264" max="264" width="10.28515625" style="17" customWidth="1"/>
    <col min="265" max="495" width="8.85546875" style="17"/>
    <col min="496" max="496" width="7.140625" style="17" customWidth="1"/>
    <col min="497" max="497" width="54.5703125" style="17" customWidth="1"/>
    <col min="498" max="498" width="19.85546875" style="17" customWidth="1"/>
    <col min="499" max="499" width="18" style="17" customWidth="1"/>
    <col min="500" max="500" width="20.85546875" style="17" bestFit="1" customWidth="1"/>
    <col min="501" max="501" width="17.42578125" style="17" customWidth="1"/>
    <col min="502" max="502" width="16.5703125" style="17" customWidth="1"/>
    <col min="503" max="503" width="20.42578125" style="17" customWidth="1"/>
    <col min="504" max="504" width="21.140625" style="17" customWidth="1"/>
    <col min="505" max="514" width="0" style="17" hidden="1" customWidth="1"/>
    <col min="515" max="515" width="19" style="17" customWidth="1"/>
    <col min="516" max="516" width="12" style="17" customWidth="1"/>
    <col min="517" max="519" width="8.85546875" style="17"/>
    <col min="520" max="520" width="10.28515625" style="17" customWidth="1"/>
    <col min="521" max="751" width="8.85546875" style="17"/>
    <col min="752" max="752" width="7.140625" style="17" customWidth="1"/>
    <col min="753" max="753" width="54.5703125" style="17" customWidth="1"/>
    <col min="754" max="754" width="19.85546875" style="17" customWidth="1"/>
    <col min="755" max="755" width="18" style="17" customWidth="1"/>
    <col min="756" max="756" width="20.85546875" style="17" bestFit="1" customWidth="1"/>
    <col min="757" max="757" width="17.42578125" style="17" customWidth="1"/>
    <col min="758" max="758" width="16.5703125" style="17" customWidth="1"/>
    <col min="759" max="759" width="20.42578125" style="17" customWidth="1"/>
    <col min="760" max="760" width="21.140625" style="17" customWidth="1"/>
    <col min="761" max="770" width="0" style="17" hidden="1" customWidth="1"/>
    <col min="771" max="771" width="19" style="17" customWidth="1"/>
    <col min="772" max="772" width="12" style="17" customWidth="1"/>
    <col min="773" max="775" width="8.85546875" style="17"/>
    <col min="776" max="776" width="10.28515625" style="17" customWidth="1"/>
    <col min="777" max="1007" width="8.85546875" style="17"/>
    <col min="1008" max="1008" width="7.140625" style="17" customWidth="1"/>
    <col min="1009" max="1009" width="54.5703125" style="17" customWidth="1"/>
    <col min="1010" max="1010" width="19.85546875" style="17" customWidth="1"/>
    <col min="1011" max="1011" width="18" style="17" customWidth="1"/>
    <col min="1012" max="1012" width="20.85546875" style="17" bestFit="1" customWidth="1"/>
    <col min="1013" max="1013" width="17.42578125" style="17" customWidth="1"/>
    <col min="1014" max="1014" width="16.5703125" style="17" customWidth="1"/>
    <col min="1015" max="1015" width="20.42578125" style="17" customWidth="1"/>
    <col min="1016" max="1016" width="21.140625" style="17" customWidth="1"/>
    <col min="1017" max="1026" width="0" style="17" hidden="1" customWidth="1"/>
    <col min="1027" max="1027" width="19" style="17" customWidth="1"/>
    <col min="1028" max="1028" width="12" style="17" customWidth="1"/>
    <col min="1029" max="1031" width="8.85546875" style="17"/>
    <col min="1032" max="1032" width="10.28515625" style="17" customWidth="1"/>
    <col min="1033" max="1263" width="8.85546875" style="17"/>
    <col min="1264" max="1264" width="7.140625" style="17" customWidth="1"/>
    <col min="1265" max="1265" width="54.5703125" style="17" customWidth="1"/>
    <col min="1266" max="1266" width="19.85546875" style="17" customWidth="1"/>
    <col min="1267" max="1267" width="18" style="17" customWidth="1"/>
    <col min="1268" max="1268" width="20.85546875" style="17" bestFit="1" customWidth="1"/>
    <col min="1269" max="1269" width="17.42578125" style="17" customWidth="1"/>
    <col min="1270" max="1270" width="16.5703125" style="17" customWidth="1"/>
    <col min="1271" max="1271" width="20.42578125" style="17" customWidth="1"/>
    <col min="1272" max="1272" width="21.140625" style="17" customWidth="1"/>
    <col min="1273" max="1282" width="0" style="17" hidden="1" customWidth="1"/>
    <col min="1283" max="1283" width="19" style="17" customWidth="1"/>
    <col min="1284" max="1284" width="12" style="17" customWidth="1"/>
    <col min="1285" max="1287" width="8.85546875" style="17"/>
    <col min="1288" max="1288" width="10.28515625" style="17" customWidth="1"/>
    <col min="1289" max="1519" width="8.85546875" style="17"/>
    <col min="1520" max="1520" width="7.140625" style="17" customWidth="1"/>
    <col min="1521" max="1521" width="54.5703125" style="17" customWidth="1"/>
    <col min="1522" max="1522" width="19.85546875" style="17" customWidth="1"/>
    <col min="1523" max="1523" width="18" style="17" customWidth="1"/>
    <col min="1524" max="1524" width="20.85546875" style="17" bestFit="1" customWidth="1"/>
    <col min="1525" max="1525" width="17.42578125" style="17" customWidth="1"/>
    <col min="1526" max="1526" width="16.5703125" style="17" customWidth="1"/>
    <col min="1527" max="1527" width="20.42578125" style="17" customWidth="1"/>
    <col min="1528" max="1528" width="21.140625" style="17" customWidth="1"/>
    <col min="1529" max="1538" width="0" style="17" hidden="1" customWidth="1"/>
    <col min="1539" max="1539" width="19" style="17" customWidth="1"/>
    <col min="1540" max="1540" width="12" style="17" customWidth="1"/>
    <col min="1541" max="1543" width="8.85546875" style="17"/>
    <col min="1544" max="1544" width="10.28515625" style="17" customWidth="1"/>
    <col min="1545" max="1775" width="8.85546875" style="17"/>
    <col min="1776" max="1776" width="7.140625" style="17" customWidth="1"/>
    <col min="1777" max="1777" width="54.5703125" style="17" customWidth="1"/>
    <col min="1778" max="1778" width="19.85546875" style="17" customWidth="1"/>
    <col min="1779" max="1779" width="18" style="17" customWidth="1"/>
    <col min="1780" max="1780" width="20.85546875" style="17" bestFit="1" customWidth="1"/>
    <col min="1781" max="1781" width="17.42578125" style="17" customWidth="1"/>
    <col min="1782" max="1782" width="16.5703125" style="17" customWidth="1"/>
    <col min="1783" max="1783" width="20.42578125" style="17" customWidth="1"/>
    <col min="1784" max="1784" width="21.140625" style="17" customWidth="1"/>
    <col min="1785" max="1794" width="0" style="17" hidden="1" customWidth="1"/>
    <col min="1795" max="1795" width="19" style="17" customWidth="1"/>
    <col min="1796" max="1796" width="12" style="17" customWidth="1"/>
    <col min="1797" max="1799" width="8.85546875" style="17"/>
    <col min="1800" max="1800" width="10.28515625" style="17" customWidth="1"/>
    <col min="1801" max="2031" width="8.85546875" style="17"/>
    <col min="2032" max="2032" width="7.140625" style="17" customWidth="1"/>
    <col min="2033" max="2033" width="54.5703125" style="17" customWidth="1"/>
    <col min="2034" max="2034" width="19.85546875" style="17" customWidth="1"/>
    <col min="2035" max="2035" width="18" style="17" customWidth="1"/>
    <col min="2036" max="2036" width="20.85546875" style="17" bestFit="1" customWidth="1"/>
    <col min="2037" max="2037" width="17.42578125" style="17" customWidth="1"/>
    <col min="2038" max="2038" width="16.5703125" style="17" customWidth="1"/>
    <col min="2039" max="2039" width="20.42578125" style="17" customWidth="1"/>
    <col min="2040" max="2040" width="21.140625" style="17" customWidth="1"/>
    <col min="2041" max="2050" width="0" style="17" hidden="1" customWidth="1"/>
    <col min="2051" max="2051" width="19" style="17" customWidth="1"/>
    <col min="2052" max="2052" width="12" style="17" customWidth="1"/>
    <col min="2053" max="2055" width="8.85546875" style="17"/>
    <col min="2056" max="2056" width="10.28515625" style="17" customWidth="1"/>
    <col min="2057" max="2287" width="8.85546875" style="17"/>
    <col min="2288" max="2288" width="7.140625" style="17" customWidth="1"/>
    <col min="2289" max="2289" width="54.5703125" style="17" customWidth="1"/>
    <col min="2290" max="2290" width="19.85546875" style="17" customWidth="1"/>
    <col min="2291" max="2291" width="18" style="17" customWidth="1"/>
    <col min="2292" max="2292" width="20.85546875" style="17" bestFit="1" customWidth="1"/>
    <col min="2293" max="2293" width="17.42578125" style="17" customWidth="1"/>
    <col min="2294" max="2294" width="16.5703125" style="17" customWidth="1"/>
    <col min="2295" max="2295" width="20.42578125" style="17" customWidth="1"/>
    <col min="2296" max="2296" width="21.140625" style="17" customWidth="1"/>
    <col min="2297" max="2306" width="0" style="17" hidden="1" customWidth="1"/>
    <col min="2307" max="2307" width="19" style="17" customWidth="1"/>
    <col min="2308" max="2308" width="12" style="17" customWidth="1"/>
    <col min="2309" max="2311" width="8.85546875" style="17"/>
    <col min="2312" max="2312" width="10.28515625" style="17" customWidth="1"/>
    <col min="2313" max="2543" width="8.85546875" style="17"/>
    <col min="2544" max="2544" width="7.140625" style="17" customWidth="1"/>
    <col min="2545" max="2545" width="54.5703125" style="17" customWidth="1"/>
    <col min="2546" max="2546" width="19.85546875" style="17" customWidth="1"/>
    <col min="2547" max="2547" width="18" style="17" customWidth="1"/>
    <col min="2548" max="2548" width="20.85546875" style="17" bestFit="1" customWidth="1"/>
    <col min="2549" max="2549" width="17.42578125" style="17" customWidth="1"/>
    <col min="2550" max="2550" width="16.5703125" style="17" customWidth="1"/>
    <col min="2551" max="2551" width="20.42578125" style="17" customWidth="1"/>
    <col min="2552" max="2552" width="21.140625" style="17" customWidth="1"/>
    <col min="2553" max="2562" width="0" style="17" hidden="1" customWidth="1"/>
    <col min="2563" max="2563" width="19" style="17" customWidth="1"/>
    <col min="2564" max="2564" width="12" style="17" customWidth="1"/>
    <col min="2565" max="2567" width="8.85546875" style="17"/>
    <col min="2568" max="2568" width="10.28515625" style="17" customWidth="1"/>
    <col min="2569" max="2799" width="8.85546875" style="17"/>
    <col min="2800" max="2800" width="7.140625" style="17" customWidth="1"/>
    <col min="2801" max="2801" width="54.5703125" style="17" customWidth="1"/>
    <col min="2802" max="2802" width="19.85546875" style="17" customWidth="1"/>
    <col min="2803" max="2803" width="18" style="17" customWidth="1"/>
    <col min="2804" max="2804" width="20.85546875" style="17" bestFit="1" customWidth="1"/>
    <col min="2805" max="2805" width="17.42578125" style="17" customWidth="1"/>
    <col min="2806" max="2806" width="16.5703125" style="17" customWidth="1"/>
    <col min="2807" max="2807" width="20.42578125" style="17" customWidth="1"/>
    <col min="2808" max="2808" width="21.140625" style="17" customWidth="1"/>
    <col min="2809" max="2818" width="0" style="17" hidden="1" customWidth="1"/>
    <col min="2819" max="2819" width="19" style="17" customWidth="1"/>
    <col min="2820" max="2820" width="12" style="17" customWidth="1"/>
    <col min="2821" max="2823" width="8.85546875" style="17"/>
    <col min="2824" max="2824" width="10.28515625" style="17" customWidth="1"/>
    <col min="2825" max="3055" width="8.85546875" style="17"/>
    <col min="3056" max="3056" width="7.140625" style="17" customWidth="1"/>
    <col min="3057" max="3057" width="54.5703125" style="17" customWidth="1"/>
    <col min="3058" max="3058" width="19.85546875" style="17" customWidth="1"/>
    <col min="3059" max="3059" width="18" style="17" customWidth="1"/>
    <col min="3060" max="3060" width="20.85546875" style="17" bestFit="1" customWidth="1"/>
    <col min="3061" max="3061" width="17.42578125" style="17" customWidth="1"/>
    <col min="3062" max="3062" width="16.5703125" style="17" customWidth="1"/>
    <col min="3063" max="3063" width="20.42578125" style="17" customWidth="1"/>
    <col min="3064" max="3064" width="21.140625" style="17" customWidth="1"/>
    <col min="3065" max="3074" width="0" style="17" hidden="1" customWidth="1"/>
    <col min="3075" max="3075" width="19" style="17" customWidth="1"/>
    <col min="3076" max="3076" width="12" style="17" customWidth="1"/>
    <col min="3077" max="3079" width="8.85546875" style="17"/>
    <col min="3080" max="3080" width="10.28515625" style="17" customWidth="1"/>
    <col min="3081" max="3311" width="8.85546875" style="17"/>
    <col min="3312" max="3312" width="7.140625" style="17" customWidth="1"/>
    <col min="3313" max="3313" width="54.5703125" style="17" customWidth="1"/>
    <col min="3314" max="3314" width="19.85546875" style="17" customWidth="1"/>
    <col min="3315" max="3315" width="18" style="17" customWidth="1"/>
    <col min="3316" max="3316" width="20.85546875" style="17" bestFit="1" customWidth="1"/>
    <col min="3317" max="3317" width="17.42578125" style="17" customWidth="1"/>
    <col min="3318" max="3318" width="16.5703125" style="17" customWidth="1"/>
    <col min="3319" max="3319" width="20.42578125" style="17" customWidth="1"/>
    <col min="3320" max="3320" width="21.140625" style="17" customWidth="1"/>
    <col min="3321" max="3330" width="0" style="17" hidden="1" customWidth="1"/>
    <col min="3331" max="3331" width="19" style="17" customWidth="1"/>
    <col min="3332" max="3332" width="12" style="17" customWidth="1"/>
    <col min="3333" max="3335" width="8.85546875" style="17"/>
    <col min="3336" max="3336" width="10.28515625" style="17" customWidth="1"/>
    <col min="3337" max="3567" width="8.85546875" style="17"/>
    <col min="3568" max="3568" width="7.140625" style="17" customWidth="1"/>
    <col min="3569" max="3569" width="54.5703125" style="17" customWidth="1"/>
    <col min="3570" max="3570" width="19.85546875" style="17" customWidth="1"/>
    <col min="3571" max="3571" width="18" style="17" customWidth="1"/>
    <col min="3572" max="3572" width="20.85546875" style="17" bestFit="1" customWidth="1"/>
    <col min="3573" max="3573" width="17.42578125" style="17" customWidth="1"/>
    <col min="3574" max="3574" width="16.5703125" style="17" customWidth="1"/>
    <col min="3575" max="3575" width="20.42578125" style="17" customWidth="1"/>
    <col min="3576" max="3576" width="21.140625" style="17" customWidth="1"/>
    <col min="3577" max="3586" width="0" style="17" hidden="1" customWidth="1"/>
    <col min="3587" max="3587" width="19" style="17" customWidth="1"/>
    <col min="3588" max="3588" width="12" style="17" customWidth="1"/>
    <col min="3589" max="3591" width="8.85546875" style="17"/>
    <col min="3592" max="3592" width="10.28515625" style="17" customWidth="1"/>
    <col min="3593" max="3823" width="8.85546875" style="17"/>
    <col min="3824" max="3824" width="7.140625" style="17" customWidth="1"/>
    <col min="3825" max="3825" width="54.5703125" style="17" customWidth="1"/>
    <col min="3826" max="3826" width="19.85546875" style="17" customWidth="1"/>
    <col min="3827" max="3827" width="18" style="17" customWidth="1"/>
    <col min="3828" max="3828" width="20.85546875" style="17" bestFit="1" customWidth="1"/>
    <col min="3829" max="3829" width="17.42578125" style="17" customWidth="1"/>
    <col min="3830" max="3830" width="16.5703125" style="17" customWidth="1"/>
    <col min="3831" max="3831" width="20.42578125" style="17" customWidth="1"/>
    <col min="3832" max="3832" width="21.140625" style="17" customWidth="1"/>
    <col min="3833" max="3842" width="0" style="17" hidden="1" customWidth="1"/>
    <col min="3843" max="3843" width="19" style="17" customWidth="1"/>
    <col min="3844" max="3844" width="12" style="17" customWidth="1"/>
    <col min="3845" max="3847" width="8.85546875" style="17"/>
    <col min="3848" max="3848" width="10.28515625" style="17" customWidth="1"/>
    <col min="3849" max="4079" width="8.85546875" style="17"/>
    <col min="4080" max="4080" width="7.140625" style="17" customWidth="1"/>
    <col min="4081" max="4081" width="54.5703125" style="17" customWidth="1"/>
    <col min="4082" max="4082" width="19.85546875" style="17" customWidth="1"/>
    <col min="4083" max="4083" width="18" style="17" customWidth="1"/>
    <col min="4084" max="4084" width="20.85546875" style="17" bestFit="1" customWidth="1"/>
    <col min="4085" max="4085" width="17.42578125" style="17" customWidth="1"/>
    <col min="4086" max="4086" width="16.5703125" style="17" customWidth="1"/>
    <col min="4087" max="4087" width="20.42578125" style="17" customWidth="1"/>
    <col min="4088" max="4088" width="21.140625" style="17" customWidth="1"/>
    <col min="4089" max="4098" width="0" style="17" hidden="1" customWidth="1"/>
    <col min="4099" max="4099" width="19" style="17" customWidth="1"/>
    <col min="4100" max="4100" width="12" style="17" customWidth="1"/>
    <col min="4101" max="4103" width="8.85546875" style="17"/>
    <col min="4104" max="4104" width="10.28515625" style="17" customWidth="1"/>
    <col min="4105" max="4335" width="8.85546875" style="17"/>
    <col min="4336" max="4336" width="7.140625" style="17" customWidth="1"/>
    <col min="4337" max="4337" width="54.5703125" style="17" customWidth="1"/>
    <col min="4338" max="4338" width="19.85546875" style="17" customWidth="1"/>
    <col min="4339" max="4339" width="18" style="17" customWidth="1"/>
    <col min="4340" max="4340" width="20.85546875" style="17" bestFit="1" customWidth="1"/>
    <col min="4341" max="4341" width="17.42578125" style="17" customWidth="1"/>
    <col min="4342" max="4342" width="16.5703125" style="17" customWidth="1"/>
    <col min="4343" max="4343" width="20.42578125" style="17" customWidth="1"/>
    <col min="4344" max="4344" width="21.140625" style="17" customWidth="1"/>
    <col min="4345" max="4354" width="0" style="17" hidden="1" customWidth="1"/>
    <col min="4355" max="4355" width="19" style="17" customWidth="1"/>
    <col min="4356" max="4356" width="12" style="17" customWidth="1"/>
    <col min="4357" max="4359" width="8.85546875" style="17"/>
    <col min="4360" max="4360" width="10.28515625" style="17" customWidth="1"/>
    <col min="4361" max="4591" width="8.85546875" style="17"/>
    <col min="4592" max="4592" width="7.140625" style="17" customWidth="1"/>
    <col min="4593" max="4593" width="54.5703125" style="17" customWidth="1"/>
    <col min="4594" max="4594" width="19.85546875" style="17" customWidth="1"/>
    <col min="4595" max="4595" width="18" style="17" customWidth="1"/>
    <col min="4596" max="4596" width="20.85546875" style="17" bestFit="1" customWidth="1"/>
    <col min="4597" max="4597" width="17.42578125" style="17" customWidth="1"/>
    <col min="4598" max="4598" width="16.5703125" style="17" customWidth="1"/>
    <col min="4599" max="4599" width="20.42578125" style="17" customWidth="1"/>
    <col min="4600" max="4600" width="21.140625" style="17" customWidth="1"/>
    <col min="4601" max="4610" width="0" style="17" hidden="1" customWidth="1"/>
    <col min="4611" max="4611" width="19" style="17" customWidth="1"/>
    <col min="4612" max="4612" width="12" style="17" customWidth="1"/>
    <col min="4613" max="4615" width="8.85546875" style="17"/>
    <col min="4616" max="4616" width="10.28515625" style="17" customWidth="1"/>
    <col min="4617" max="4847" width="8.85546875" style="17"/>
    <col min="4848" max="4848" width="7.140625" style="17" customWidth="1"/>
    <col min="4849" max="4849" width="54.5703125" style="17" customWidth="1"/>
    <col min="4850" max="4850" width="19.85546875" style="17" customWidth="1"/>
    <col min="4851" max="4851" width="18" style="17" customWidth="1"/>
    <col min="4852" max="4852" width="20.85546875" style="17" bestFit="1" customWidth="1"/>
    <col min="4853" max="4853" width="17.42578125" style="17" customWidth="1"/>
    <col min="4854" max="4854" width="16.5703125" style="17" customWidth="1"/>
    <col min="4855" max="4855" width="20.42578125" style="17" customWidth="1"/>
    <col min="4856" max="4856" width="21.140625" style="17" customWidth="1"/>
    <col min="4857" max="4866" width="0" style="17" hidden="1" customWidth="1"/>
    <col min="4867" max="4867" width="19" style="17" customWidth="1"/>
    <col min="4868" max="4868" width="12" style="17" customWidth="1"/>
    <col min="4869" max="4871" width="8.85546875" style="17"/>
    <col min="4872" max="4872" width="10.28515625" style="17" customWidth="1"/>
    <col min="4873" max="5103" width="8.85546875" style="17"/>
    <col min="5104" max="5104" width="7.140625" style="17" customWidth="1"/>
    <col min="5105" max="5105" width="54.5703125" style="17" customWidth="1"/>
    <col min="5106" max="5106" width="19.85546875" style="17" customWidth="1"/>
    <col min="5107" max="5107" width="18" style="17" customWidth="1"/>
    <col min="5108" max="5108" width="20.85546875" style="17" bestFit="1" customWidth="1"/>
    <col min="5109" max="5109" width="17.42578125" style="17" customWidth="1"/>
    <col min="5110" max="5110" width="16.5703125" style="17" customWidth="1"/>
    <col min="5111" max="5111" width="20.42578125" style="17" customWidth="1"/>
    <col min="5112" max="5112" width="21.140625" style="17" customWidth="1"/>
    <col min="5113" max="5122" width="0" style="17" hidden="1" customWidth="1"/>
    <col min="5123" max="5123" width="19" style="17" customWidth="1"/>
    <col min="5124" max="5124" width="12" style="17" customWidth="1"/>
    <col min="5125" max="5127" width="8.85546875" style="17"/>
    <col min="5128" max="5128" width="10.28515625" style="17" customWidth="1"/>
    <col min="5129" max="5359" width="8.85546875" style="17"/>
    <col min="5360" max="5360" width="7.140625" style="17" customWidth="1"/>
    <col min="5361" max="5361" width="54.5703125" style="17" customWidth="1"/>
    <col min="5362" max="5362" width="19.85546875" style="17" customWidth="1"/>
    <col min="5363" max="5363" width="18" style="17" customWidth="1"/>
    <col min="5364" max="5364" width="20.85546875" style="17" bestFit="1" customWidth="1"/>
    <col min="5365" max="5365" width="17.42578125" style="17" customWidth="1"/>
    <col min="5366" max="5366" width="16.5703125" style="17" customWidth="1"/>
    <col min="5367" max="5367" width="20.42578125" style="17" customWidth="1"/>
    <col min="5368" max="5368" width="21.140625" style="17" customWidth="1"/>
    <col min="5369" max="5378" width="0" style="17" hidden="1" customWidth="1"/>
    <col min="5379" max="5379" width="19" style="17" customWidth="1"/>
    <col min="5380" max="5380" width="12" style="17" customWidth="1"/>
    <col min="5381" max="5383" width="8.85546875" style="17"/>
    <col min="5384" max="5384" width="10.28515625" style="17" customWidth="1"/>
    <col min="5385" max="5615" width="8.85546875" style="17"/>
    <col min="5616" max="5616" width="7.140625" style="17" customWidth="1"/>
    <col min="5617" max="5617" width="54.5703125" style="17" customWidth="1"/>
    <col min="5618" max="5618" width="19.85546875" style="17" customWidth="1"/>
    <col min="5619" max="5619" width="18" style="17" customWidth="1"/>
    <col min="5620" max="5620" width="20.85546875" style="17" bestFit="1" customWidth="1"/>
    <col min="5621" max="5621" width="17.42578125" style="17" customWidth="1"/>
    <col min="5622" max="5622" width="16.5703125" style="17" customWidth="1"/>
    <col min="5623" max="5623" width="20.42578125" style="17" customWidth="1"/>
    <col min="5624" max="5624" width="21.140625" style="17" customWidth="1"/>
    <col min="5625" max="5634" width="0" style="17" hidden="1" customWidth="1"/>
    <col min="5635" max="5635" width="19" style="17" customWidth="1"/>
    <col min="5636" max="5636" width="12" style="17" customWidth="1"/>
    <col min="5637" max="5639" width="8.85546875" style="17"/>
    <col min="5640" max="5640" width="10.28515625" style="17" customWidth="1"/>
    <col min="5641" max="5871" width="8.85546875" style="17"/>
    <col min="5872" max="5872" width="7.140625" style="17" customWidth="1"/>
    <col min="5873" max="5873" width="54.5703125" style="17" customWidth="1"/>
    <col min="5874" max="5874" width="19.85546875" style="17" customWidth="1"/>
    <col min="5875" max="5875" width="18" style="17" customWidth="1"/>
    <col min="5876" max="5876" width="20.85546875" style="17" bestFit="1" customWidth="1"/>
    <col min="5877" max="5877" width="17.42578125" style="17" customWidth="1"/>
    <col min="5878" max="5878" width="16.5703125" style="17" customWidth="1"/>
    <col min="5879" max="5879" width="20.42578125" style="17" customWidth="1"/>
    <col min="5880" max="5880" width="21.140625" style="17" customWidth="1"/>
    <col min="5881" max="5890" width="0" style="17" hidden="1" customWidth="1"/>
    <col min="5891" max="5891" width="19" style="17" customWidth="1"/>
    <col min="5892" max="5892" width="12" style="17" customWidth="1"/>
    <col min="5893" max="5895" width="8.85546875" style="17"/>
    <col min="5896" max="5896" width="10.28515625" style="17" customWidth="1"/>
    <col min="5897" max="6127" width="8.85546875" style="17"/>
    <col min="6128" max="6128" width="7.140625" style="17" customWidth="1"/>
    <col min="6129" max="6129" width="54.5703125" style="17" customWidth="1"/>
    <col min="6130" max="6130" width="19.85546875" style="17" customWidth="1"/>
    <col min="6131" max="6131" width="18" style="17" customWidth="1"/>
    <col min="6132" max="6132" width="20.85546875" style="17" bestFit="1" customWidth="1"/>
    <col min="6133" max="6133" width="17.42578125" style="17" customWidth="1"/>
    <col min="6134" max="6134" width="16.5703125" style="17" customWidth="1"/>
    <col min="6135" max="6135" width="20.42578125" style="17" customWidth="1"/>
    <col min="6136" max="6136" width="21.140625" style="17" customWidth="1"/>
    <col min="6137" max="6146" width="0" style="17" hidden="1" customWidth="1"/>
    <col min="6147" max="6147" width="19" style="17" customWidth="1"/>
    <col min="6148" max="6148" width="12" style="17" customWidth="1"/>
    <col min="6149" max="6151" width="8.85546875" style="17"/>
    <col min="6152" max="6152" width="10.28515625" style="17" customWidth="1"/>
    <col min="6153" max="6383" width="8.85546875" style="17"/>
    <col min="6384" max="6384" width="7.140625" style="17" customWidth="1"/>
    <col min="6385" max="6385" width="54.5703125" style="17" customWidth="1"/>
    <col min="6386" max="6386" width="19.85546875" style="17" customWidth="1"/>
    <col min="6387" max="6387" width="18" style="17" customWidth="1"/>
    <col min="6388" max="6388" width="20.85546875" style="17" bestFit="1" customWidth="1"/>
    <col min="6389" max="6389" width="17.42578125" style="17" customWidth="1"/>
    <col min="6390" max="6390" width="16.5703125" style="17" customWidth="1"/>
    <col min="6391" max="6391" width="20.42578125" style="17" customWidth="1"/>
    <col min="6392" max="6392" width="21.140625" style="17" customWidth="1"/>
    <col min="6393" max="6402" width="0" style="17" hidden="1" customWidth="1"/>
    <col min="6403" max="6403" width="19" style="17" customWidth="1"/>
    <col min="6404" max="6404" width="12" style="17" customWidth="1"/>
    <col min="6405" max="6407" width="8.85546875" style="17"/>
    <col min="6408" max="6408" width="10.28515625" style="17" customWidth="1"/>
    <col min="6409" max="6639" width="8.85546875" style="17"/>
    <col min="6640" max="6640" width="7.140625" style="17" customWidth="1"/>
    <col min="6641" max="6641" width="54.5703125" style="17" customWidth="1"/>
    <col min="6642" max="6642" width="19.85546875" style="17" customWidth="1"/>
    <col min="6643" max="6643" width="18" style="17" customWidth="1"/>
    <col min="6644" max="6644" width="20.85546875" style="17" bestFit="1" customWidth="1"/>
    <col min="6645" max="6645" width="17.42578125" style="17" customWidth="1"/>
    <col min="6646" max="6646" width="16.5703125" style="17" customWidth="1"/>
    <col min="6647" max="6647" width="20.42578125" style="17" customWidth="1"/>
    <col min="6648" max="6648" width="21.140625" style="17" customWidth="1"/>
    <col min="6649" max="6658" width="0" style="17" hidden="1" customWidth="1"/>
    <col min="6659" max="6659" width="19" style="17" customWidth="1"/>
    <col min="6660" max="6660" width="12" style="17" customWidth="1"/>
    <col min="6661" max="6663" width="8.85546875" style="17"/>
    <col min="6664" max="6664" width="10.28515625" style="17" customWidth="1"/>
    <col min="6665" max="6895" width="8.85546875" style="17"/>
    <col min="6896" max="6896" width="7.140625" style="17" customWidth="1"/>
    <col min="6897" max="6897" width="54.5703125" style="17" customWidth="1"/>
    <col min="6898" max="6898" width="19.85546875" style="17" customWidth="1"/>
    <col min="6899" max="6899" width="18" style="17" customWidth="1"/>
    <col min="6900" max="6900" width="20.85546875" style="17" bestFit="1" customWidth="1"/>
    <col min="6901" max="6901" width="17.42578125" style="17" customWidth="1"/>
    <col min="6902" max="6902" width="16.5703125" style="17" customWidth="1"/>
    <col min="6903" max="6903" width="20.42578125" style="17" customWidth="1"/>
    <col min="6904" max="6904" width="21.140625" style="17" customWidth="1"/>
    <col min="6905" max="6914" width="0" style="17" hidden="1" customWidth="1"/>
    <col min="6915" max="6915" width="19" style="17" customWidth="1"/>
    <col min="6916" max="6916" width="12" style="17" customWidth="1"/>
    <col min="6917" max="6919" width="8.85546875" style="17"/>
    <col min="6920" max="6920" width="10.28515625" style="17" customWidth="1"/>
    <col min="6921" max="7151" width="8.85546875" style="17"/>
    <col min="7152" max="7152" width="7.140625" style="17" customWidth="1"/>
    <col min="7153" max="7153" width="54.5703125" style="17" customWidth="1"/>
    <col min="7154" max="7154" width="19.85546875" style="17" customWidth="1"/>
    <col min="7155" max="7155" width="18" style="17" customWidth="1"/>
    <col min="7156" max="7156" width="20.85546875" style="17" bestFit="1" customWidth="1"/>
    <col min="7157" max="7157" width="17.42578125" style="17" customWidth="1"/>
    <col min="7158" max="7158" width="16.5703125" style="17" customWidth="1"/>
    <col min="7159" max="7159" width="20.42578125" style="17" customWidth="1"/>
    <col min="7160" max="7160" width="21.140625" style="17" customWidth="1"/>
    <col min="7161" max="7170" width="0" style="17" hidden="1" customWidth="1"/>
    <col min="7171" max="7171" width="19" style="17" customWidth="1"/>
    <col min="7172" max="7172" width="12" style="17" customWidth="1"/>
    <col min="7173" max="7175" width="8.85546875" style="17"/>
    <col min="7176" max="7176" width="10.28515625" style="17" customWidth="1"/>
    <col min="7177" max="7407" width="8.85546875" style="17"/>
    <col min="7408" max="7408" width="7.140625" style="17" customWidth="1"/>
    <col min="7409" max="7409" width="54.5703125" style="17" customWidth="1"/>
    <col min="7410" max="7410" width="19.85546875" style="17" customWidth="1"/>
    <col min="7411" max="7411" width="18" style="17" customWidth="1"/>
    <col min="7412" max="7412" width="20.85546875" style="17" bestFit="1" customWidth="1"/>
    <col min="7413" max="7413" width="17.42578125" style="17" customWidth="1"/>
    <col min="7414" max="7414" width="16.5703125" style="17" customWidth="1"/>
    <col min="7415" max="7415" width="20.42578125" style="17" customWidth="1"/>
    <col min="7416" max="7416" width="21.140625" style="17" customWidth="1"/>
    <col min="7417" max="7426" width="0" style="17" hidden="1" customWidth="1"/>
    <col min="7427" max="7427" width="19" style="17" customWidth="1"/>
    <col min="7428" max="7428" width="12" style="17" customWidth="1"/>
    <col min="7429" max="7431" width="8.85546875" style="17"/>
    <col min="7432" max="7432" width="10.28515625" style="17" customWidth="1"/>
    <col min="7433" max="7663" width="8.85546875" style="17"/>
    <col min="7664" max="7664" width="7.140625" style="17" customWidth="1"/>
    <col min="7665" max="7665" width="54.5703125" style="17" customWidth="1"/>
    <col min="7666" max="7666" width="19.85546875" style="17" customWidth="1"/>
    <col min="7667" max="7667" width="18" style="17" customWidth="1"/>
    <col min="7668" max="7668" width="20.85546875" style="17" bestFit="1" customWidth="1"/>
    <col min="7669" max="7669" width="17.42578125" style="17" customWidth="1"/>
    <col min="7670" max="7670" width="16.5703125" style="17" customWidth="1"/>
    <col min="7671" max="7671" width="20.42578125" style="17" customWidth="1"/>
    <col min="7672" max="7672" width="21.140625" style="17" customWidth="1"/>
    <col min="7673" max="7682" width="0" style="17" hidden="1" customWidth="1"/>
    <col min="7683" max="7683" width="19" style="17" customWidth="1"/>
    <col min="7684" max="7684" width="12" style="17" customWidth="1"/>
    <col min="7685" max="7687" width="8.85546875" style="17"/>
    <col min="7688" max="7688" width="10.28515625" style="17" customWidth="1"/>
    <col min="7689" max="7919" width="8.85546875" style="17"/>
    <col min="7920" max="7920" width="7.140625" style="17" customWidth="1"/>
    <col min="7921" max="7921" width="54.5703125" style="17" customWidth="1"/>
    <col min="7922" max="7922" width="19.85546875" style="17" customWidth="1"/>
    <col min="7923" max="7923" width="18" style="17" customWidth="1"/>
    <col min="7924" max="7924" width="20.85546875" style="17" bestFit="1" customWidth="1"/>
    <col min="7925" max="7925" width="17.42578125" style="17" customWidth="1"/>
    <col min="7926" max="7926" width="16.5703125" style="17" customWidth="1"/>
    <col min="7927" max="7927" width="20.42578125" style="17" customWidth="1"/>
    <col min="7928" max="7928" width="21.140625" style="17" customWidth="1"/>
    <col min="7929" max="7938" width="0" style="17" hidden="1" customWidth="1"/>
    <col min="7939" max="7939" width="19" style="17" customWidth="1"/>
    <col min="7940" max="7940" width="12" style="17" customWidth="1"/>
    <col min="7941" max="7943" width="8.85546875" style="17"/>
    <col min="7944" max="7944" width="10.28515625" style="17" customWidth="1"/>
    <col min="7945" max="8175" width="8.85546875" style="17"/>
    <col min="8176" max="8176" width="7.140625" style="17" customWidth="1"/>
    <col min="8177" max="8177" width="54.5703125" style="17" customWidth="1"/>
    <col min="8178" max="8178" width="19.85546875" style="17" customWidth="1"/>
    <col min="8179" max="8179" width="18" style="17" customWidth="1"/>
    <col min="8180" max="8180" width="20.85546875" style="17" bestFit="1" customWidth="1"/>
    <col min="8181" max="8181" width="17.42578125" style="17" customWidth="1"/>
    <col min="8182" max="8182" width="16.5703125" style="17" customWidth="1"/>
    <col min="8183" max="8183" width="20.42578125" style="17" customWidth="1"/>
    <col min="8184" max="8184" width="21.140625" style="17" customWidth="1"/>
    <col min="8185" max="8194" width="0" style="17" hidden="1" customWidth="1"/>
    <col min="8195" max="8195" width="19" style="17" customWidth="1"/>
    <col min="8196" max="8196" width="12" style="17" customWidth="1"/>
    <col min="8197" max="8199" width="8.85546875" style="17"/>
    <col min="8200" max="8200" width="10.28515625" style="17" customWidth="1"/>
    <col min="8201" max="8431" width="8.85546875" style="17"/>
    <col min="8432" max="8432" width="7.140625" style="17" customWidth="1"/>
    <col min="8433" max="8433" width="54.5703125" style="17" customWidth="1"/>
    <col min="8434" max="8434" width="19.85546875" style="17" customWidth="1"/>
    <col min="8435" max="8435" width="18" style="17" customWidth="1"/>
    <col min="8436" max="8436" width="20.85546875" style="17" bestFit="1" customWidth="1"/>
    <col min="8437" max="8437" width="17.42578125" style="17" customWidth="1"/>
    <col min="8438" max="8438" width="16.5703125" style="17" customWidth="1"/>
    <col min="8439" max="8439" width="20.42578125" style="17" customWidth="1"/>
    <col min="8440" max="8440" width="21.140625" style="17" customWidth="1"/>
    <col min="8441" max="8450" width="0" style="17" hidden="1" customWidth="1"/>
    <col min="8451" max="8451" width="19" style="17" customWidth="1"/>
    <col min="8452" max="8452" width="12" style="17" customWidth="1"/>
    <col min="8453" max="8455" width="8.85546875" style="17"/>
    <col min="8456" max="8456" width="10.28515625" style="17" customWidth="1"/>
    <col min="8457" max="8687" width="8.85546875" style="17"/>
    <col min="8688" max="8688" width="7.140625" style="17" customWidth="1"/>
    <col min="8689" max="8689" width="54.5703125" style="17" customWidth="1"/>
    <col min="8690" max="8690" width="19.85546875" style="17" customWidth="1"/>
    <col min="8691" max="8691" width="18" style="17" customWidth="1"/>
    <col min="8692" max="8692" width="20.85546875" style="17" bestFit="1" customWidth="1"/>
    <col min="8693" max="8693" width="17.42578125" style="17" customWidth="1"/>
    <col min="8694" max="8694" width="16.5703125" style="17" customWidth="1"/>
    <col min="8695" max="8695" width="20.42578125" style="17" customWidth="1"/>
    <col min="8696" max="8696" width="21.140625" style="17" customWidth="1"/>
    <col min="8697" max="8706" width="0" style="17" hidden="1" customWidth="1"/>
    <col min="8707" max="8707" width="19" style="17" customWidth="1"/>
    <col min="8708" max="8708" width="12" style="17" customWidth="1"/>
    <col min="8709" max="8711" width="8.85546875" style="17"/>
    <col min="8712" max="8712" width="10.28515625" style="17" customWidth="1"/>
    <col min="8713" max="8943" width="8.85546875" style="17"/>
    <col min="8944" max="8944" width="7.140625" style="17" customWidth="1"/>
    <col min="8945" max="8945" width="54.5703125" style="17" customWidth="1"/>
    <col min="8946" max="8946" width="19.85546875" style="17" customWidth="1"/>
    <col min="8947" max="8947" width="18" style="17" customWidth="1"/>
    <col min="8948" max="8948" width="20.85546875" style="17" bestFit="1" customWidth="1"/>
    <col min="8949" max="8949" width="17.42578125" style="17" customWidth="1"/>
    <col min="8950" max="8950" width="16.5703125" style="17" customWidth="1"/>
    <col min="8951" max="8951" width="20.42578125" style="17" customWidth="1"/>
    <col min="8952" max="8952" width="21.140625" style="17" customWidth="1"/>
    <col min="8953" max="8962" width="0" style="17" hidden="1" customWidth="1"/>
    <col min="8963" max="8963" width="19" style="17" customWidth="1"/>
    <col min="8964" max="8964" width="12" style="17" customWidth="1"/>
    <col min="8965" max="8967" width="8.85546875" style="17"/>
    <col min="8968" max="8968" width="10.28515625" style="17" customWidth="1"/>
    <col min="8969" max="9199" width="8.85546875" style="17"/>
    <col min="9200" max="9200" width="7.140625" style="17" customWidth="1"/>
    <col min="9201" max="9201" width="54.5703125" style="17" customWidth="1"/>
    <col min="9202" max="9202" width="19.85546875" style="17" customWidth="1"/>
    <col min="9203" max="9203" width="18" style="17" customWidth="1"/>
    <col min="9204" max="9204" width="20.85546875" style="17" bestFit="1" customWidth="1"/>
    <col min="9205" max="9205" width="17.42578125" style="17" customWidth="1"/>
    <col min="9206" max="9206" width="16.5703125" style="17" customWidth="1"/>
    <col min="9207" max="9207" width="20.42578125" style="17" customWidth="1"/>
    <col min="9208" max="9208" width="21.140625" style="17" customWidth="1"/>
    <col min="9209" max="9218" width="0" style="17" hidden="1" customWidth="1"/>
    <col min="9219" max="9219" width="19" style="17" customWidth="1"/>
    <col min="9220" max="9220" width="12" style="17" customWidth="1"/>
    <col min="9221" max="9223" width="8.85546875" style="17"/>
    <col min="9224" max="9224" width="10.28515625" style="17" customWidth="1"/>
    <col min="9225" max="9455" width="8.85546875" style="17"/>
    <col min="9456" max="9456" width="7.140625" style="17" customWidth="1"/>
    <col min="9457" max="9457" width="54.5703125" style="17" customWidth="1"/>
    <col min="9458" max="9458" width="19.85546875" style="17" customWidth="1"/>
    <col min="9459" max="9459" width="18" style="17" customWidth="1"/>
    <col min="9460" max="9460" width="20.85546875" style="17" bestFit="1" customWidth="1"/>
    <col min="9461" max="9461" width="17.42578125" style="17" customWidth="1"/>
    <col min="9462" max="9462" width="16.5703125" style="17" customWidth="1"/>
    <col min="9463" max="9463" width="20.42578125" style="17" customWidth="1"/>
    <col min="9464" max="9464" width="21.140625" style="17" customWidth="1"/>
    <col min="9465" max="9474" width="0" style="17" hidden="1" customWidth="1"/>
    <col min="9475" max="9475" width="19" style="17" customWidth="1"/>
    <col min="9476" max="9476" width="12" style="17" customWidth="1"/>
    <col min="9477" max="9479" width="8.85546875" style="17"/>
    <col min="9480" max="9480" width="10.28515625" style="17" customWidth="1"/>
    <col min="9481" max="9711" width="8.85546875" style="17"/>
    <col min="9712" max="9712" width="7.140625" style="17" customWidth="1"/>
    <col min="9713" max="9713" width="54.5703125" style="17" customWidth="1"/>
    <col min="9714" max="9714" width="19.85546875" style="17" customWidth="1"/>
    <col min="9715" max="9715" width="18" style="17" customWidth="1"/>
    <col min="9716" max="9716" width="20.85546875" style="17" bestFit="1" customWidth="1"/>
    <col min="9717" max="9717" width="17.42578125" style="17" customWidth="1"/>
    <col min="9718" max="9718" width="16.5703125" style="17" customWidth="1"/>
    <col min="9719" max="9719" width="20.42578125" style="17" customWidth="1"/>
    <col min="9720" max="9720" width="21.140625" style="17" customWidth="1"/>
    <col min="9721" max="9730" width="0" style="17" hidden="1" customWidth="1"/>
    <col min="9731" max="9731" width="19" style="17" customWidth="1"/>
    <col min="9732" max="9732" width="12" style="17" customWidth="1"/>
    <col min="9733" max="9735" width="8.85546875" style="17"/>
    <col min="9736" max="9736" width="10.28515625" style="17" customWidth="1"/>
    <col min="9737" max="9967" width="8.85546875" style="17"/>
    <col min="9968" max="9968" width="7.140625" style="17" customWidth="1"/>
    <col min="9969" max="9969" width="54.5703125" style="17" customWidth="1"/>
    <col min="9970" max="9970" width="19.85546875" style="17" customWidth="1"/>
    <col min="9971" max="9971" width="18" style="17" customWidth="1"/>
    <col min="9972" max="9972" width="20.85546875" style="17" bestFit="1" customWidth="1"/>
    <col min="9973" max="9973" width="17.42578125" style="17" customWidth="1"/>
    <col min="9974" max="9974" width="16.5703125" style="17" customWidth="1"/>
    <col min="9975" max="9975" width="20.42578125" style="17" customWidth="1"/>
    <col min="9976" max="9976" width="21.140625" style="17" customWidth="1"/>
    <col min="9977" max="9986" width="0" style="17" hidden="1" customWidth="1"/>
    <col min="9987" max="9987" width="19" style="17" customWidth="1"/>
    <col min="9988" max="9988" width="12" style="17" customWidth="1"/>
    <col min="9989" max="9991" width="8.85546875" style="17"/>
    <col min="9992" max="9992" width="10.28515625" style="17" customWidth="1"/>
    <col min="9993" max="10223" width="8.85546875" style="17"/>
    <col min="10224" max="10224" width="7.140625" style="17" customWidth="1"/>
    <col min="10225" max="10225" width="54.5703125" style="17" customWidth="1"/>
    <col min="10226" max="10226" width="19.85546875" style="17" customWidth="1"/>
    <col min="10227" max="10227" width="18" style="17" customWidth="1"/>
    <col min="10228" max="10228" width="20.85546875" style="17" bestFit="1" customWidth="1"/>
    <col min="10229" max="10229" width="17.42578125" style="17" customWidth="1"/>
    <col min="10230" max="10230" width="16.5703125" style="17" customWidth="1"/>
    <col min="10231" max="10231" width="20.42578125" style="17" customWidth="1"/>
    <col min="10232" max="10232" width="21.140625" style="17" customWidth="1"/>
    <col min="10233" max="10242" width="0" style="17" hidden="1" customWidth="1"/>
    <col min="10243" max="10243" width="19" style="17" customWidth="1"/>
    <col min="10244" max="10244" width="12" style="17" customWidth="1"/>
    <col min="10245" max="10247" width="8.85546875" style="17"/>
    <col min="10248" max="10248" width="10.28515625" style="17" customWidth="1"/>
    <col min="10249" max="10479" width="8.85546875" style="17"/>
    <col min="10480" max="10480" width="7.140625" style="17" customWidth="1"/>
    <col min="10481" max="10481" width="54.5703125" style="17" customWidth="1"/>
    <col min="10482" max="10482" width="19.85546875" style="17" customWidth="1"/>
    <col min="10483" max="10483" width="18" style="17" customWidth="1"/>
    <col min="10484" max="10484" width="20.85546875" style="17" bestFit="1" customWidth="1"/>
    <col min="10485" max="10485" width="17.42578125" style="17" customWidth="1"/>
    <col min="10486" max="10486" width="16.5703125" style="17" customWidth="1"/>
    <col min="10487" max="10487" width="20.42578125" style="17" customWidth="1"/>
    <col min="10488" max="10488" width="21.140625" style="17" customWidth="1"/>
    <col min="10489" max="10498" width="0" style="17" hidden="1" customWidth="1"/>
    <col min="10499" max="10499" width="19" style="17" customWidth="1"/>
    <col min="10500" max="10500" width="12" style="17" customWidth="1"/>
    <col min="10501" max="10503" width="8.85546875" style="17"/>
    <col min="10504" max="10504" width="10.28515625" style="17" customWidth="1"/>
    <col min="10505" max="10735" width="8.85546875" style="17"/>
    <col min="10736" max="10736" width="7.140625" style="17" customWidth="1"/>
    <col min="10737" max="10737" width="54.5703125" style="17" customWidth="1"/>
    <col min="10738" max="10738" width="19.85546875" style="17" customWidth="1"/>
    <col min="10739" max="10739" width="18" style="17" customWidth="1"/>
    <col min="10740" max="10740" width="20.85546875" style="17" bestFit="1" customWidth="1"/>
    <col min="10741" max="10741" width="17.42578125" style="17" customWidth="1"/>
    <col min="10742" max="10742" width="16.5703125" style="17" customWidth="1"/>
    <col min="10743" max="10743" width="20.42578125" style="17" customWidth="1"/>
    <col min="10744" max="10744" width="21.140625" style="17" customWidth="1"/>
    <col min="10745" max="10754" width="0" style="17" hidden="1" customWidth="1"/>
    <col min="10755" max="10755" width="19" style="17" customWidth="1"/>
    <col min="10756" max="10756" width="12" style="17" customWidth="1"/>
    <col min="10757" max="10759" width="8.85546875" style="17"/>
    <col min="10760" max="10760" width="10.28515625" style="17" customWidth="1"/>
    <col min="10761" max="10991" width="8.85546875" style="17"/>
    <col min="10992" max="10992" width="7.140625" style="17" customWidth="1"/>
    <col min="10993" max="10993" width="54.5703125" style="17" customWidth="1"/>
    <col min="10994" max="10994" width="19.85546875" style="17" customWidth="1"/>
    <col min="10995" max="10995" width="18" style="17" customWidth="1"/>
    <col min="10996" max="10996" width="20.85546875" style="17" bestFit="1" customWidth="1"/>
    <col min="10997" max="10997" width="17.42578125" style="17" customWidth="1"/>
    <col min="10998" max="10998" width="16.5703125" style="17" customWidth="1"/>
    <col min="10999" max="10999" width="20.42578125" style="17" customWidth="1"/>
    <col min="11000" max="11000" width="21.140625" style="17" customWidth="1"/>
    <col min="11001" max="11010" width="0" style="17" hidden="1" customWidth="1"/>
    <col min="11011" max="11011" width="19" style="17" customWidth="1"/>
    <col min="11012" max="11012" width="12" style="17" customWidth="1"/>
    <col min="11013" max="11015" width="8.85546875" style="17"/>
    <col min="11016" max="11016" width="10.28515625" style="17" customWidth="1"/>
    <col min="11017" max="11247" width="8.85546875" style="17"/>
    <col min="11248" max="11248" width="7.140625" style="17" customWidth="1"/>
    <col min="11249" max="11249" width="54.5703125" style="17" customWidth="1"/>
    <col min="11250" max="11250" width="19.85546875" style="17" customWidth="1"/>
    <col min="11251" max="11251" width="18" style="17" customWidth="1"/>
    <col min="11252" max="11252" width="20.85546875" style="17" bestFit="1" customWidth="1"/>
    <col min="11253" max="11253" width="17.42578125" style="17" customWidth="1"/>
    <col min="11254" max="11254" width="16.5703125" style="17" customWidth="1"/>
    <col min="11255" max="11255" width="20.42578125" style="17" customWidth="1"/>
    <col min="11256" max="11256" width="21.140625" style="17" customWidth="1"/>
    <col min="11257" max="11266" width="0" style="17" hidden="1" customWidth="1"/>
    <col min="11267" max="11267" width="19" style="17" customWidth="1"/>
    <col min="11268" max="11268" width="12" style="17" customWidth="1"/>
    <col min="11269" max="11271" width="8.85546875" style="17"/>
    <col min="11272" max="11272" width="10.28515625" style="17" customWidth="1"/>
    <col min="11273" max="11503" width="8.85546875" style="17"/>
    <col min="11504" max="11504" width="7.140625" style="17" customWidth="1"/>
    <col min="11505" max="11505" width="54.5703125" style="17" customWidth="1"/>
    <col min="11506" max="11506" width="19.85546875" style="17" customWidth="1"/>
    <col min="11507" max="11507" width="18" style="17" customWidth="1"/>
    <col min="11508" max="11508" width="20.85546875" style="17" bestFit="1" customWidth="1"/>
    <col min="11509" max="11509" width="17.42578125" style="17" customWidth="1"/>
    <col min="11510" max="11510" width="16.5703125" style="17" customWidth="1"/>
    <col min="11511" max="11511" width="20.42578125" style="17" customWidth="1"/>
    <col min="11512" max="11512" width="21.140625" style="17" customWidth="1"/>
    <col min="11513" max="11522" width="0" style="17" hidden="1" customWidth="1"/>
    <col min="11523" max="11523" width="19" style="17" customWidth="1"/>
    <col min="11524" max="11524" width="12" style="17" customWidth="1"/>
    <col min="11525" max="11527" width="8.85546875" style="17"/>
    <col min="11528" max="11528" width="10.28515625" style="17" customWidth="1"/>
    <col min="11529" max="11759" width="8.85546875" style="17"/>
    <col min="11760" max="11760" width="7.140625" style="17" customWidth="1"/>
    <col min="11761" max="11761" width="54.5703125" style="17" customWidth="1"/>
    <col min="11762" max="11762" width="19.85546875" style="17" customWidth="1"/>
    <col min="11763" max="11763" width="18" style="17" customWidth="1"/>
    <col min="11764" max="11764" width="20.85546875" style="17" bestFit="1" customWidth="1"/>
    <col min="11765" max="11765" width="17.42578125" style="17" customWidth="1"/>
    <col min="11766" max="11766" width="16.5703125" style="17" customWidth="1"/>
    <col min="11767" max="11767" width="20.42578125" style="17" customWidth="1"/>
    <col min="11768" max="11768" width="21.140625" style="17" customWidth="1"/>
    <col min="11769" max="11778" width="0" style="17" hidden="1" customWidth="1"/>
    <col min="11779" max="11779" width="19" style="17" customWidth="1"/>
    <col min="11780" max="11780" width="12" style="17" customWidth="1"/>
    <col min="11781" max="11783" width="8.85546875" style="17"/>
    <col min="11784" max="11784" width="10.28515625" style="17" customWidth="1"/>
    <col min="11785" max="12015" width="8.85546875" style="17"/>
    <col min="12016" max="12016" width="7.140625" style="17" customWidth="1"/>
    <col min="12017" max="12017" width="54.5703125" style="17" customWidth="1"/>
    <col min="12018" max="12018" width="19.85546875" style="17" customWidth="1"/>
    <col min="12019" max="12019" width="18" style="17" customWidth="1"/>
    <col min="12020" max="12020" width="20.85546875" style="17" bestFit="1" customWidth="1"/>
    <col min="12021" max="12021" width="17.42578125" style="17" customWidth="1"/>
    <col min="12022" max="12022" width="16.5703125" style="17" customWidth="1"/>
    <col min="12023" max="12023" width="20.42578125" style="17" customWidth="1"/>
    <col min="12024" max="12024" width="21.140625" style="17" customWidth="1"/>
    <col min="12025" max="12034" width="0" style="17" hidden="1" customWidth="1"/>
    <col min="12035" max="12035" width="19" style="17" customWidth="1"/>
    <col min="12036" max="12036" width="12" style="17" customWidth="1"/>
    <col min="12037" max="12039" width="8.85546875" style="17"/>
    <col min="12040" max="12040" width="10.28515625" style="17" customWidth="1"/>
    <col min="12041" max="12271" width="8.85546875" style="17"/>
    <col min="12272" max="12272" width="7.140625" style="17" customWidth="1"/>
    <col min="12273" max="12273" width="54.5703125" style="17" customWidth="1"/>
    <col min="12274" max="12274" width="19.85546875" style="17" customWidth="1"/>
    <col min="12275" max="12275" width="18" style="17" customWidth="1"/>
    <col min="12276" max="12276" width="20.85546875" style="17" bestFit="1" customWidth="1"/>
    <col min="12277" max="12277" width="17.42578125" style="17" customWidth="1"/>
    <col min="12278" max="12278" width="16.5703125" style="17" customWidth="1"/>
    <col min="12279" max="12279" width="20.42578125" style="17" customWidth="1"/>
    <col min="12280" max="12280" width="21.140625" style="17" customWidth="1"/>
    <col min="12281" max="12290" width="0" style="17" hidden="1" customWidth="1"/>
    <col min="12291" max="12291" width="19" style="17" customWidth="1"/>
    <col min="12292" max="12292" width="12" style="17" customWidth="1"/>
    <col min="12293" max="12295" width="8.85546875" style="17"/>
    <col min="12296" max="12296" width="10.28515625" style="17" customWidth="1"/>
    <col min="12297" max="12527" width="8.85546875" style="17"/>
    <col min="12528" max="12528" width="7.140625" style="17" customWidth="1"/>
    <col min="12529" max="12529" width="54.5703125" style="17" customWidth="1"/>
    <col min="12530" max="12530" width="19.85546875" style="17" customWidth="1"/>
    <col min="12531" max="12531" width="18" style="17" customWidth="1"/>
    <col min="12532" max="12532" width="20.85546875" style="17" bestFit="1" customWidth="1"/>
    <col min="12533" max="12533" width="17.42578125" style="17" customWidth="1"/>
    <col min="12534" max="12534" width="16.5703125" style="17" customWidth="1"/>
    <col min="12535" max="12535" width="20.42578125" style="17" customWidth="1"/>
    <col min="12536" max="12536" width="21.140625" style="17" customWidth="1"/>
    <col min="12537" max="12546" width="0" style="17" hidden="1" customWidth="1"/>
    <col min="12547" max="12547" width="19" style="17" customWidth="1"/>
    <col min="12548" max="12548" width="12" style="17" customWidth="1"/>
    <col min="12549" max="12551" width="8.85546875" style="17"/>
    <col min="12552" max="12552" width="10.28515625" style="17" customWidth="1"/>
    <col min="12553" max="12783" width="8.85546875" style="17"/>
    <col min="12784" max="12784" width="7.140625" style="17" customWidth="1"/>
    <col min="12785" max="12785" width="54.5703125" style="17" customWidth="1"/>
    <col min="12786" max="12786" width="19.85546875" style="17" customWidth="1"/>
    <col min="12787" max="12787" width="18" style="17" customWidth="1"/>
    <col min="12788" max="12788" width="20.85546875" style="17" bestFit="1" customWidth="1"/>
    <col min="12789" max="12789" width="17.42578125" style="17" customWidth="1"/>
    <col min="12790" max="12790" width="16.5703125" style="17" customWidth="1"/>
    <col min="12791" max="12791" width="20.42578125" style="17" customWidth="1"/>
    <col min="12792" max="12792" width="21.140625" style="17" customWidth="1"/>
    <col min="12793" max="12802" width="0" style="17" hidden="1" customWidth="1"/>
    <col min="12803" max="12803" width="19" style="17" customWidth="1"/>
    <col min="12804" max="12804" width="12" style="17" customWidth="1"/>
    <col min="12805" max="12807" width="8.85546875" style="17"/>
    <col min="12808" max="12808" width="10.28515625" style="17" customWidth="1"/>
    <col min="12809" max="13039" width="8.85546875" style="17"/>
    <col min="13040" max="13040" width="7.140625" style="17" customWidth="1"/>
    <col min="13041" max="13041" width="54.5703125" style="17" customWidth="1"/>
    <col min="13042" max="13042" width="19.85546875" style="17" customWidth="1"/>
    <col min="13043" max="13043" width="18" style="17" customWidth="1"/>
    <col min="13044" max="13044" width="20.85546875" style="17" bestFit="1" customWidth="1"/>
    <col min="13045" max="13045" width="17.42578125" style="17" customWidth="1"/>
    <col min="13046" max="13046" width="16.5703125" style="17" customWidth="1"/>
    <col min="13047" max="13047" width="20.42578125" style="17" customWidth="1"/>
    <col min="13048" max="13048" width="21.140625" style="17" customWidth="1"/>
    <col min="13049" max="13058" width="0" style="17" hidden="1" customWidth="1"/>
    <col min="13059" max="13059" width="19" style="17" customWidth="1"/>
    <col min="13060" max="13060" width="12" style="17" customWidth="1"/>
    <col min="13061" max="13063" width="8.85546875" style="17"/>
    <col min="13064" max="13064" width="10.28515625" style="17" customWidth="1"/>
    <col min="13065" max="13295" width="8.85546875" style="17"/>
    <col min="13296" max="13296" width="7.140625" style="17" customWidth="1"/>
    <col min="13297" max="13297" width="54.5703125" style="17" customWidth="1"/>
    <col min="13298" max="13298" width="19.85546875" style="17" customWidth="1"/>
    <col min="13299" max="13299" width="18" style="17" customWidth="1"/>
    <col min="13300" max="13300" width="20.85546875" style="17" bestFit="1" customWidth="1"/>
    <col min="13301" max="13301" width="17.42578125" style="17" customWidth="1"/>
    <col min="13302" max="13302" width="16.5703125" style="17" customWidth="1"/>
    <col min="13303" max="13303" width="20.42578125" style="17" customWidth="1"/>
    <col min="13304" max="13304" width="21.140625" style="17" customWidth="1"/>
    <col min="13305" max="13314" width="0" style="17" hidden="1" customWidth="1"/>
    <col min="13315" max="13315" width="19" style="17" customWidth="1"/>
    <col min="13316" max="13316" width="12" style="17" customWidth="1"/>
    <col min="13317" max="13319" width="8.85546875" style="17"/>
    <col min="13320" max="13320" width="10.28515625" style="17" customWidth="1"/>
    <col min="13321" max="13551" width="8.85546875" style="17"/>
    <col min="13552" max="13552" width="7.140625" style="17" customWidth="1"/>
    <col min="13553" max="13553" width="54.5703125" style="17" customWidth="1"/>
    <col min="13554" max="13554" width="19.85546875" style="17" customWidth="1"/>
    <col min="13555" max="13555" width="18" style="17" customWidth="1"/>
    <col min="13556" max="13556" width="20.85546875" style="17" bestFit="1" customWidth="1"/>
    <col min="13557" max="13557" width="17.42578125" style="17" customWidth="1"/>
    <col min="13558" max="13558" width="16.5703125" style="17" customWidth="1"/>
    <col min="13559" max="13559" width="20.42578125" style="17" customWidth="1"/>
    <col min="13560" max="13560" width="21.140625" style="17" customWidth="1"/>
    <col min="13561" max="13570" width="0" style="17" hidden="1" customWidth="1"/>
    <col min="13571" max="13571" width="19" style="17" customWidth="1"/>
    <col min="13572" max="13572" width="12" style="17" customWidth="1"/>
    <col min="13573" max="13575" width="8.85546875" style="17"/>
    <col min="13576" max="13576" width="10.28515625" style="17" customWidth="1"/>
    <col min="13577" max="13807" width="8.85546875" style="17"/>
    <col min="13808" max="13808" width="7.140625" style="17" customWidth="1"/>
    <col min="13809" max="13809" width="54.5703125" style="17" customWidth="1"/>
    <col min="13810" max="13810" width="19.85546875" style="17" customWidth="1"/>
    <col min="13811" max="13811" width="18" style="17" customWidth="1"/>
    <col min="13812" max="13812" width="20.85546875" style="17" bestFit="1" customWidth="1"/>
    <col min="13813" max="13813" width="17.42578125" style="17" customWidth="1"/>
    <col min="13814" max="13814" width="16.5703125" style="17" customWidth="1"/>
    <col min="13815" max="13815" width="20.42578125" style="17" customWidth="1"/>
    <col min="13816" max="13816" width="21.140625" style="17" customWidth="1"/>
    <col min="13817" max="13826" width="0" style="17" hidden="1" customWidth="1"/>
    <col min="13827" max="13827" width="19" style="17" customWidth="1"/>
    <col min="13828" max="13828" width="12" style="17" customWidth="1"/>
    <col min="13829" max="13831" width="8.85546875" style="17"/>
    <col min="13832" max="13832" width="10.28515625" style="17" customWidth="1"/>
    <col min="13833" max="14063" width="8.85546875" style="17"/>
    <col min="14064" max="14064" width="7.140625" style="17" customWidth="1"/>
    <col min="14065" max="14065" width="54.5703125" style="17" customWidth="1"/>
    <col min="14066" max="14066" width="19.85546875" style="17" customWidth="1"/>
    <col min="14067" max="14067" width="18" style="17" customWidth="1"/>
    <col min="14068" max="14068" width="20.85546875" style="17" bestFit="1" customWidth="1"/>
    <col min="14069" max="14069" width="17.42578125" style="17" customWidth="1"/>
    <col min="14070" max="14070" width="16.5703125" style="17" customWidth="1"/>
    <col min="14071" max="14071" width="20.42578125" style="17" customWidth="1"/>
    <col min="14072" max="14072" width="21.140625" style="17" customWidth="1"/>
    <col min="14073" max="14082" width="0" style="17" hidden="1" customWidth="1"/>
    <col min="14083" max="14083" width="19" style="17" customWidth="1"/>
    <col min="14084" max="14084" width="12" style="17" customWidth="1"/>
    <col min="14085" max="14087" width="8.85546875" style="17"/>
    <col min="14088" max="14088" width="10.28515625" style="17" customWidth="1"/>
    <col min="14089" max="14319" width="8.85546875" style="17"/>
    <col min="14320" max="14320" width="7.140625" style="17" customWidth="1"/>
    <col min="14321" max="14321" width="54.5703125" style="17" customWidth="1"/>
    <col min="14322" max="14322" width="19.85546875" style="17" customWidth="1"/>
    <col min="14323" max="14323" width="18" style="17" customWidth="1"/>
    <col min="14324" max="14324" width="20.85546875" style="17" bestFit="1" customWidth="1"/>
    <col min="14325" max="14325" width="17.42578125" style="17" customWidth="1"/>
    <col min="14326" max="14326" width="16.5703125" style="17" customWidth="1"/>
    <col min="14327" max="14327" width="20.42578125" style="17" customWidth="1"/>
    <col min="14328" max="14328" width="21.140625" style="17" customWidth="1"/>
    <col min="14329" max="14338" width="0" style="17" hidden="1" customWidth="1"/>
    <col min="14339" max="14339" width="19" style="17" customWidth="1"/>
    <col min="14340" max="14340" width="12" style="17" customWidth="1"/>
    <col min="14341" max="14343" width="8.85546875" style="17"/>
    <col min="14344" max="14344" width="10.28515625" style="17" customWidth="1"/>
    <col min="14345" max="14575" width="8.85546875" style="17"/>
    <col min="14576" max="14576" width="7.140625" style="17" customWidth="1"/>
    <col min="14577" max="14577" width="54.5703125" style="17" customWidth="1"/>
    <col min="14578" max="14578" width="19.85546875" style="17" customWidth="1"/>
    <col min="14579" max="14579" width="18" style="17" customWidth="1"/>
    <col min="14580" max="14580" width="20.85546875" style="17" bestFit="1" customWidth="1"/>
    <col min="14581" max="14581" width="17.42578125" style="17" customWidth="1"/>
    <col min="14582" max="14582" width="16.5703125" style="17" customWidth="1"/>
    <col min="14583" max="14583" width="20.42578125" style="17" customWidth="1"/>
    <col min="14584" max="14584" width="21.140625" style="17" customWidth="1"/>
    <col min="14585" max="14594" width="0" style="17" hidden="1" customWidth="1"/>
    <col min="14595" max="14595" width="19" style="17" customWidth="1"/>
    <col min="14596" max="14596" width="12" style="17" customWidth="1"/>
    <col min="14597" max="14599" width="8.85546875" style="17"/>
    <col min="14600" max="14600" width="10.28515625" style="17" customWidth="1"/>
    <col min="14601" max="14831" width="8.85546875" style="17"/>
    <col min="14832" max="14832" width="7.140625" style="17" customWidth="1"/>
    <col min="14833" max="14833" width="54.5703125" style="17" customWidth="1"/>
    <col min="14834" max="14834" width="19.85546875" style="17" customWidth="1"/>
    <col min="14835" max="14835" width="18" style="17" customWidth="1"/>
    <col min="14836" max="14836" width="20.85546875" style="17" bestFit="1" customWidth="1"/>
    <col min="14837" max="14837" width="17.42578125" style="17" customWidth="1"/>
    <col min="14838" max="14838" width="16.5703125" style="17" customWidth="1"/>
    <col min="14839" max="14839" width="20.42578125" style="17" customWidth="1"/>
    <col min="14840" max="14840" width="21.140625" style="17" customWidth="1"/>
    <col min="14841" max="14850" width="0" style="17" hidden="1" customWidth="1"/>
    <col min="14851" max="14851" width="19" style="17" customWidth="1"/>
    <col min="14852" max="14852" width="12" style="17" customWidth="1"/>
    <col min="14853" max="14855" width="8.85546875" style="17"/>
    <col min="14856" max="14856" width="10.28515625" style="17" customWidth="1"/>
    <col min="14857" max="15087" width="8.85546875" style="17"/>
    <col min="15088" max="15088" width="7.140625" style="17" customWidth="1"/>
    <col min="15089" max="15089" width="54.5703125" style="17" customWidth="1"/>
    <col min="15090" max="15090" width="19.85546875" style="17" customWidth="1"/>
    <col min="15091" max="15091" width="18" style="17" customWidth="1"/>
    <col min="15092" max="15092" width="20.85546875" style="17" bestFit="1" customWidth="1"/>
    <col min="15093" max="15093" width="17.42578125" style="17" customWidth="1"/>
    <col min="15094" max="15094" width="16.5703125" style="17" customWidth="1"/>
    <col min="15095" max="15095" width="20.42578125" style="17" customWidth="1"/>
    <col min="15096" max="15096" width="21.140625" style="17" customWidth="1"/>
    <col min="15097" max="15106" width="0" style="17" hidden="1" customWidth="1"/>
    <col min="15107" max="15107" width="19" style="17" customWidth="1"/>
    <col min="15108" max="15108" width="12" style="17" customWidth="1"/>
    <col min="15109" max="15111" width="8.85546875" style="17"/>
    <col min="15112" max="15112" width="10.28515625" style="17" customWidth="1"/>
    <col min="15113" max="15343" width="8.85546875" style="17"/>
    <col min="15344" max="15344" width="7.140625" style="17" customWidth="1"/>
    <col min="15345" max="15345" width="54.5703125" style="17" customWidth="1"/>
    <col min="15346" max="15346" width="19.85546875" style="17" customWidth="1"/>
    <col min="15347" max="15347" width="18" style="17" customWidth="1"/>
    <col min="15348" max="15348" width="20.85546875" style="17" bestFit="1" customWidth="1"/>
    <col min="15349" max="15349" width="17.42578125" style="17" customWidth="1"/>
    <col min="15350" max="15350" width="16.5703125" style="17" customWidth="1"/>
    <col min="15351" max="15351" width="20.42578125" style="17" customWidth="1"/>
    <col min="15352" max="15352" width="21.140625" style="17" customWidth="1"/>
    <col min="15353" max="15362" width="0" style="17" hidden="1" customWidth="1"/>
    <col min="15363" max="15363" width="19" style="17" customWidth="1"/>
    <col min="15364" max="15364" width="12" style="17" customWidth="1"/>
    <col min="15365" max="15367" width="8.85546875" style="17"/>
    <col min="15368" max="15368" width="10.28515625" style="17" customWidth="1"/>
    <col min="15369" max="15599" width="8.85546875" style="17"/>
    <col min="15600" max="15600" width="7.140625" style="17" customWidth="1"/>
    <col min="15601" max="15601" width="54.5703125" style="17" customWidth="1"/>
    <col min="15602" max="15602" width="19.85546875" style="17" customWidth="1"/>
    <col min="15603" max="15603" width="18" style="17" customWidth="1"/>
    <col min="15604" max="15604" width="20.85546875" style="17" bestFit="1" customWidth="1"/>
    <col min="15605" max="15605" width="17.42578125" style="17" customWidth="1"/>
    <col min="15606" max="15606" width="16.5703125" style="17" customWidth="1"/>
    <col min="15607" max="15607" width="20.42578125" style="17" customWidth="1"/>
    <col min="15608" max="15608" width="21.140625" style="17" customWidth="1"/>
    <col min="15609" max="15618" width="0" style="17" hidden="1" customWidth="1"/>
    <col min="15619" max="15619" width="19" style="17" customWidth="1"/>
    <col min="15620" max="15620" width="12" style="17" customWidth="1"/>
    <col min="15621" max="15623" width="8.85546875" style="17"/>
    <col min="15624" max="15624" width="10.28515625" style="17" customWidth="1"/>
    <col min="15625" max="15855" width="8.85546875" style="17"/>
    <col min="15856" max="15856" width="7.140625" style="17" customWidth="1"/>
    <col min="15857" max="15857" width="54.5703125" style="17" customWidth="1"/>
    <col min="15858" max="15858" width="19.85546875" style="17" customWidth="1"/>
    <col min="15859" max="15859" width="18" style="17" customWidth="1"/>
    <col min="15860" max="15860" width="20.85546875" style="17" bestFit="1" customWidth="1"/>
    <col min="15861" max="15861" width="17.42578125" style="17" customWidth="1"/>
    <col min="15862" max="15862" width="16.5703125" style="17" customWidth="1"/>
    <col min="15863" max="15863" width="20.42578125" style="17" customWidth="1"/>
    <col min="15864" max="15864" width="21.140625" style="17" customWidth="1"/>
    <col min="15865" max="15874" width="0" style="17" hidden="1" customWidth="1"/>
    <col min="15875" max="15875" width="19" style="17" customWidth="1"/>
    <col min="15876" max="15876" width="12" style="17" customWidth="1"/>
    <col min="15877" max="15879" width="8.85546875" style="17"/>
    <col min="15880" max="15880" width="10.28515625" style="17" customWidth="1"/>
    <col min="15881" max="16111" width="8.85546875" style="17"/>
    <col min="16112" max="16112" width="7.140625" style="17" customWidth="1"/>
    <col min="16113" max="16113" width="54.5703125" style="17" customWidth="1"/>
    <col min="16114" max="16114" width="19.85546875" style="17" customWidth="1"/>
    <col min="16115" max="16115" width="18" style="17" customWidth="1"/>
    <col min="16116" max="16116" width="20.85546875" style="17" bestFit="1" customWidth="1"/>
    <col min="16117" max="16117" width="17.42578125" style="17" customWidth="1"/>
    <col min="16118" max="16118" width="16.5703125" style="17" customWidth="1"/>
    <col min="16119" max="16119" width="20.42578125" style="17" customWidth="1"/>
    <col min="16120" max="16120" width="21.140625" style="17" customWidth="1"/>
    <col min="16121" max="16130" width="0" style="17" hidden="1" customWidth="1"/>
    <col min="16131" max="16131" width="19" style="17" customWidth="1"/>
    <col min="16132" max="16132" width="12" style="17" customWidth="1"/>
    <col min="16133" max="16135" width="8.85546875" style="17"/>
    <col min="16136" max="16136" width="10.28515625" style="17" customWidth="1"/>
    <col min="16137" max="16384" width="8.85546875" style="17"/>
  </cols>
  <sheetData>
    <row r="2" spans="1:17" ht="23.25" x14ac:dyDescent="0.35">
      <c r="C2" s="598" t="s">
        <v>21</v>
      </c>
      <c r="D2" s="598"/>
      <c r="E2" s="598"/>
      <c r="F2" s="598"/>
      <c r="G2" s="598"/>
      <c r="H2" s="598"/>
      <c r="I2" s="598"/>
      <c r="J2" s="598"/>
      <c r="K2" s="598"/>
      <c r="L2" s="598"/>
    </row>
    <row r="3" spans="1:17" ht="25.5" customHeight="1" x14ac:dyDescent="0.35">
      <c r="C3" s="598" t="s">
        <v>207</v>
      </c>
      <c r="D3" s="598"/>
      <c r="E3" s="598"/>
      <c r="F3" s="598"/>
      <c r="G3" s="598"/>
      <c r="H3" s="598"/>
      <c r="I3" s="598"/>
      <c r="J3" s="598"/>
      <c r="K3" s="598"/>
      <c r="L3" s="598"/>
    </row>
    <row r="4" spans="1:17" x14ac:dyDescent="0.25">
      <c r="C4" s="605"/>
      <c r="D4" s="605"/>
      <c r="E4" s="605"/>
      <c r="F4" s="605"/>
      <c r="G4" s="605"/>
      <c r="H4" s="605"/>
      <c r="I4" s="605"/>
      <c r="J4" s="605"/>
      <c r="K4" s="605"/>
      <c r="L4" s="605"/>
    </row>
    <row r="5" spans="1:17" ht="6.75" customHeight="1" thickBot="1" x14ac:dyDescent="0.3">
      <c r="C5" s="19"/>
      <c r="D5" s="20"/>
      <c r="E5" s="21"/>
      <c r="F5" s="22"/>
      <c r="G5" s="21"/>
    </row>
    <row r="6" spans="1:17" ht="54.75" thickBot="1" x14ac:dyDescent="0.3">
      <c r="C6" s="261" t="s">
        <v>145</v>
      </c>
      <c r="D6" s="262" t="s">
        <v>22</v>
      </c>
      <c r="E6" s="262" t="s">
        <v>23</v>
      </c>
      <c r="F6" s="262" t="s">
        <v>24</v>
      </c>
      <c r="G6" s="262" t="s">
        <v>109</v>
      </c>
      <c r="H6" s="262" t="s">
        <v>25</v>
      </c>
      <c r="I6" s="262" t="s">
        <v>26</v>
      </c>
      <c r="J6" s="262" t="s">
        <v>107</v>
      </c>
      <c r="K6" s="262" t="s">
        <v>27</v>
      </c>
      <c r="L6" s="263" t="s">
        <v>28</v>
      </c>
      <c r="P6" s="129" t="s">
        <v>24</v>
      </c>
    </row>
    <row r="7" spans="1:17" ht="21" customHeight="1" thickBot="1" x14ac:dyDescent="0.3">
      <c r="C7" s="602" t="s">
        <v>29</v>
      </c>
      <c r="D7" s="602"/>
      <c r="E7" s="602"/>
      <c r="F7" s="602"/>
      <c r="G7" s="602"/>
      <c r="H7" s="602"/>
      <c r="I7" s="602"/>
      <c r="J7" s="602"/>
      <c r="K7" s="602"/>
      <c r="L7" s="602"/>
      <c r="Q7" s="17">
        <v>2018</v>
      </c>
    </row>
    <row r="8" spans="1:17" ht="18.75" thickBot="1" x14ac:dyDescent="0.3">
      <c r="A8" s="23"/>
      <c r="B8" s="23"/>
      <c r="C8" s="177" t="s">
        <v>9</v>
      </c>
      <c r="D8" s="247">
        <v>43820.32</v>
      </c>
      <c r="E8" s="247">
        <v>100</v>
      </c>
      <c r="F8" s="247">
        <v>10000</v>
      </c>
      <c r="G8" s="247">
        <v>0</v>
      </c>
      <c r="H8" s="247">
        <f>M8-D8-E8-F8-G8-I8-J8-K8</f>
        <v>737587.32000000007</v>
      </c>
      <c r="I8" s="247">
        <v>26000</v>
      </c>
      <c r="J8" s="247">
        <v>2000</v>
      </c>
      <c r="K8" s="247">
        <v>3000</v>
      </c>
      <c r="L8" s="248">
        <f>SUM(D8:K8)</f>
        <v>822507.64</v>
      </c>
      <c r="M8" s="109">
        <f>'ES CT Gas Table A'!F13</f>
        <v>822507.64</v>
      </c>
      <c r="N8" s="109">
        <f t="shared" ref="N8:N13" si="0">M8-L8</f>
        <v>0</v>
      </c>
      <c r="P8" s="128">
        <v>2.6262419224533379E-4</v>
      </c>
      <c r="Q8" s="130">
        <v>-39.575102153641595</v>
      </c>
    </row>
    <row r="9" spans="1:17" ht="21.75" customHeight="1" thickBot="1" x14ac:dyDescent="0.3">
      <c r="A9" s="23"/>
      <c r="B9" s="23"/>
      <c r="C9" s="177" t="s">
        <v>142</v>
      </c>
      <c r="D9" s="247">
        <v>438204.23000000004</v>
      </c>
      <c r="E9" s="247">
        <v>500</v>
      </c>
      <c r="F9" s="247">
        <v>260000</v>
      </c>
      <c r="G9" s="247">
        <f>16000</f>
        <v>16000</v>
      </c>
      <c r="H9" s="247">
        <f>M9-D9-E9-F9-G9-I9-J9-K9</f>
        <v>3712237.53</v>
      </c>
      <c r="I9" s="247">
        <v>170000</v>
      </c>
      <c r="J9" s="247">
        <v>7000</v>
      </c>
      <c r="K9" s="247">
        <v>5000</v>
      </c>
      <c r="L9" s="248">
        <f>SUM(D9:K9)</f>
        <v>4608941.76</v>
      </c>
      <c r="M9" s="109">
        <f>'ES CT Gas Table A'!F14</f>
        <v>4608941.76</v>
      </c>
      <c r="N9" s="109">
        <f t="shared" si="0"/>
        <v>0</v>
      </c>
      <c r="P9" s="128">
        <v>8.7541397415111261E-3</v>
      </c>
      <c r="Q9" s="130">
        <v>-1319.1700717880531</v>
      </c>
    </row>
    <row r="10" spans="1:17" ht="23.25" customHeight="1" thickBot="1" x14ac:dyDescent="0.3">
      <c r="A10" s="23"/>
      <c r="B10" s="23"/>
      <c r="C10" s="177" t="s">
        <v>143</v>
      </c>
      <c r="D10" s="247">
        <v>76685.56</v>
      </c>
      <c r="E10" s="247">
        <v>484</v>
      </c>
      <c r="F10" s="247">
        <v>240000</v>
      </c>
      <c r="G10" s="247">
        <v>0</v>
      </c>
      <c r="H10" s="247">
        <f>M10-D10-E10-F10-G10-I10-J10-K10</f>
        <v>4056695.4400000004</v>
      </c>
      <c r="I10" s="247">
        <f>4000+16000</f>
        <v>20000</v>
      </c>
      <c r="J10" s="247">
        <v>100</v>
      </c>
      <c r="K10" s="247">
        <v>1000</v>
      </c>
      <c r="L10" s="248">
        <f>SUM(D10:K10)</f>
        <v>4394965</v>
      </c>
      <c r="M10" s="109">
        <f>'ES CT Gas Table A'!F15</f>
        <v>4394965</v>
      </c>
      <c r="N10" s="109">
        <f t="shared" si="0"/>
        <v>0</v>
      </c>
      <c r="P10" s="128">
        <v>2.6700126211608934E-3</v>
      </c>
      <c r="Q10" s="130">
        <v>-402.34687189535617</v>
      </c>
    </row>
    <row r="11" spans="1:17" ht="18.75" thickBot="1" x14ac:dyDescent="0.3">
      <c r="A11" s="23"/>
      <c r="B11" s="23"/>
      <c r="C11" s="177" t="s">
        <v>219</v>
      </c>
      <c r="D11" s="247">
        <v>442788.99195599998</v>
      </c>
      <c r="E11" s="247">
        <v>500</v>
      </c>
      <c r="F11" s="247">
        <v>80000</v>
      </c>
      <c r="G11" s="247">
        <f>25000</f>
        <v>25000</v>
      </c>
      <c r="H11" s="247">
        <f>M11-D11-E11-F11-G11-I11-J11-K11</f>
        <v>5414693.0080439998</v>
      </c>
      <c r="I11" s="247">
        <f>150000</f>
        <v>150000</v>
      </c>
      <c r="J11" s="247">
        <f>6000</f>
        <v>6000</v>
      </c>
      <c r="K11" s="247">
        <v>8000</v>
      </c>
      <c r="L11" s="265">
        <f>SUM(D11:K11)</f>
        <v>6126982</v>
      </c>
      <c r="M11" s="109">
        <f>'ES CT Gas Table A'!F16</f>
        <v>6126982</v>
      </c>
      <c r="N11" s="109">
        <f t="shared" si="0"/>
        <v>0</v>
      </c>
      <c r="P11" s="128">
        <v>8.9292225363413484E-4</v>
      </c>
      <c r="Q11" s="130">
        <v>-134.55534732238141</v>
      </c>
    </row>
    <row r="12" spans="1:17" ht="19.5" customHeight="1" thickBot="1" x14ac:dyDescent="0.3">
      <c r="A12" s="23"/>
      <c r="B12" s="23"/>
      <c r="C12" s="177" t="s">
        <v>124</v>
      </c>
      <c r="D12" s="247">
        <v>0</v>
      </c>
      <c r="E12" s="247">
        <v>0</v>
      </c>
      <c r="F12" s="247">
        <f>M12-D12-E12-G12-H12-I12-J12-K12</f>
        <v>0</v>
      </c>
      <c r="G12" s="247">
        <v>0</v>
      </c>
      <c r="H12" s="247">
        <v>0</v>
      </c>
      <c r="I12" s="247">
        <v>0</v>
      </c>
      <c r="J12" s="247">
        <v>0</v>
      </c>
      <c r="K12" s="247">
        <v>0</v>
      </c>
      <c r="L12" s="265">
        <f>SUM(D12:K12)</f>
        <v>0</v>
      </c>
      <c r="M12" s="109">
        <f>'ES CT Gas Table A'!F17</f>
        <v>0</v>
      </c>
      <c r="N12" s="109">
        <f t="shared" si="0"/>
        <v>0</v>
      </c>
      <c r="P12" s="128">
        <v>2.1775982572866157E-2</v>
      </c>
      <c r="Q12" s="130">
        <v>-3281.4445898877739</v>
      </c>
    </row>
    <row r="13" spans="1:17" ht="24.75" customHeight="1" thickBot="1" x14ac:dyDescent="0.3">
      <c r="A13" s="24"/>
      <c r="B13" s="24"/>
      <c r="C13" s="266" t="s">
        <v>213</v>
      </c>
      <c r="D13" s="264">
        <f>SUM(D8:D12)</f>
        <v>1001499.1019560001</v>
      </c>
      <c r="E13" s="264">
        <f t="shared" ref="E13:L13" si="1">SUM(E8:E12)</f>
        <v>1584</v>
      </c>
      <c r="F13" s="264">
        <f t="shared" si="1"/>
        <v>590000</v>
      </c>
      <c r="G13" s="264">
        <f t="shared" si="1"/>
        <v>41000</v>
      </c>
      <c r="H13" s="264">
        <f t="shared" si="1"/>
        <v>13921213.298044</v>
      </c>
      <c r="I13" s="264">
        <f t="shared" si="1"/>
        <v>366000</v>
      </c>
      <c r="J13" s="264">
        <f t="shared" si="1"/>
        <v>15100</v>
      </c>
      <c r="K13" s="264">
        <f t="shared" si="1"/>
        <v>17000</v>
      </c>
      <c r="L13" s="264">
        <f t="shared" si="1"/>
        <v>15953396.399999999</v>
      </c>
      <c r="M13" s="109">
        <f>'ES CT Gas Table A'!F18</f>
        <v>15953396.399999999</v>
      </c>
      <c r="N13" s="109">
        <f t="shared" si="0"/>
        <v>0</v>
      </c>
      <c r="Q13" s="130"/>
    </row>
    <row r="14" spans="1:17" ht="16.5" customHeight="1" thickBot="1" x14ac:dyDescent="0.3">
      <c r="A14" s="24"/>
      <c r="B14" s="24"/>
      <c r="C14" s="606" t="s">
        <v>101</v>
      </c>
      <c r="D14" s="606"/>
      <c r="E14" s="606"/>
      <c r="F14" s="606"/>
      <c r="G14" s="606"/>
      <c r="H14" s="606"/>
      <c r="I14" s="606"/>
      <c r="J14" s="606"/>
      <c r="K14" s="606"/>
      <c r="L14" s="606"/>
      <c r="Q14" s="130"/>
    </row>
    <row r="15" spans="1:17" ht="22.5" customHeight="1" thickBot="1" x14ac:dyDescent="0.3">
      <c r="A15" s="23"/>
      <c r="B15" s="23"/>
      <c r="C15" s="246" t="s">
        <v>30</v>
      </c>
      <c r="D15" s="247">
        <v>131695.57980918529</v>
      </c>
      <c r="E15" s="247">
        <v>500</v>
      </c>
      <c r="F15" s="247">
        <v>400000</v>
      </c>
      <c r="G15" s="247">
        <f>22956</f>
        <v>22956</v>
      </c>
      <c r="H15" s="247">
        <f>M15-D15-E15-F15-G15-I15-J15-K15</f>
        <v>3157103.4201908149</v>
      </c>
      <c r="I15" s="247">
        <v>40000</v>
      </c>
      <c r="J15" s="247">
        <v>1000</v>
      </c>
      <c r="K15" s="247">
        <v>1000</v>
      </c>
      <c r="L15" s="248">
        <f>SUM(D15:K15)</f>
        <v>3754255</v>
      </c>
      <c r="M15" s="109">
        <f>'ES CT Gas Table A'!F20</f>
        <v>3754255</v>
      </c>
      <c r="N15" s="109">
        <f>M15-L15</f>
        <v>0</v>
      </c>
      <c r="P15" s="128">
        <v>2.6029121400422107E-3</v>
      </c>
      <c r="Q15" s="130">
        <v>-392.23543329510079</v>
      </c>
    </row>
    <row r="16" spans="1:17" ht="27" customHeight="1" x14ac:dyDescent="0.25">
      <c r="A16" s="23"/>
      <c r="B16" s="23"/>
      <c r="C16" s="249" t="s">
        <v>31</v>
      </c>
      <c r="D16" s="242">
        <v>675668.67</v>
      </c>
      <c r="E16" s="242">
        <v>500</v>
      </c>
      <c r="F16" s="242">
        <v>69538</v>
      </c>
      <c r="G16" s="242">
        <v>22320</v>
      </c>
      <c r="H16" s="242">
        <f>M16-D16-E16-F16-G16-I16-J16-K16</f>
        <v>-85752.670000000042</v>
      </c>
      <c r="I16" s="242">
        <v>42000</v>
      </c>
      <c r="J16" s="242">
        <v>6000</v>
      </c>
      <c r="K16" s="242">
        <v>2000</v>
      </c>
      <c r="L16" s="243">
        <f>SUM(D16:K16)</f>
        <v>732274</v>
      </c>
      <c r="M16" s="109">
        <f>'ES CT Gas Table A'!F21</f>
        <v>732274</v>
      </c>
      <c r="N16" s="109">
        <f>M16-L16</f>
        <v>0</v>
      </c>
      <c r="P16" s="128">
        <v>3.063948909528894E-3</v>
      </c>
      <c r="Q16" s="130">
        <v>-461.70952512581857</v>
      </c>
    </row>
    <row r="17" spans="1:17" ht="39" customHeight="1" thickBot="1" x14ac:dyDescent="0.3">
      <c r="A17" s="23"/>
      <c r="B17" s="23"/>
      <c r="C17" s="269" t="s">
        <v>225</v>
      </c>
      <c r="D17" s="245">
        <v>84458.97</v>
      </c>
      <c r="E17" s="245">
        <v>100</v>
      </c>
      <c r="F17" s="245">
        <v>110000</v>
      </c>
      <c r="G17" s="245">
        <v>837</v>
      </c>
      <c r="H17" s="245">
        <f>M17-D17-E17-F17-G17-I17-J17-K17</f>
        <v>194787.03000000003</v>
      </c>
      <c r="I17" s="245">
        <v>16000</v>
      </c>
      <c r="J17" s="245">
        <v>1000</v>
      </c>
      <c r="K17" s="245">
        <v>1000</v>
      </c>
      <c r="L17" s="250">
        <f>SUM(D17:K17)</f>
        <v>408183</v>
      </c>
      <c r="M17" s="109">
        <f>'ES CT Gas Table A'!F22</f>
        <v>408183</v>
      </c>
      <c r="N17" s="109">
        <f>M17-L17</f>
        <v>0</v>
      </c>
      <c r="P17" s="128">
        <v>1.7508279483022253E-3</v>
      </c>
      <c r="Q17" s="130">
        <v>-263.83401435761061</v>
      </c>
    </row>
    <row r="18" spans="1:17" ht="24.75" customHeight="1" thickBot="1" x14ac:dyDescent="0.3">
      <c r="A18" s="24"/>
      <c r="B18" s="24"/>
      <c r="C18" s="251" t="s">
        <v>11</v>
      </c>
      <c r="D18" s="252">
        <v>59938.79</v>
      </c>
      <c r="E18" s="252">
        <v>500</v>
      </c>
      <c r="F18" s="252">
        <v>8000</v>
      </c>
      <c r="G18" s="252">
        <v>0</v>
      </c>
      <c r="H18" s="244">
        <f>M18-D18-E18-F18-J18-K18-G18-I18</f>
        <v>161549.21</v>
      </c>
      <c r="I18" s="252">
        <v>38000</v>
      </c>
      <c r="J18" s="252">
        <v>1000</v>
      </c>
      <c r="K18" s="252">
        <f>2000</f>
        <v>2000</v>
      </c>
      <c r="L18" s="252">
        <f>SUM(D18:K18)</f>
        <v>270988</v>
      </c>
      <c r="M18" s="109">
        <f>'ES CT Gas Table A'!F23</f>
        <v>270988</v>
      </c>
      <c r="N18" s="109">
        <f>M18-L18</f>
        <v>0</v>
      </c>
      <c r="P18" s="128">
        <v>3.0639489095288941E-4</v>
      </c>
      <c r="Q18" s="130">
        <v>-46.170952512581856</v>
      </c>
    </row>
    <row r="19" spans="1:17" ht="19.5" customHeight="1" thickBot="1" x14ac:dyDescent="0.3">
      <c r="A19" s="24"/>
      <c r="B19" s="24"/>
      <c r="C19" s="266" t="s">
        <v>227</v>
      </c>
      <c r="D19" s="264">
        <f>SUM(D15:D18)</f>
        <v>951762.00980918529</v>
      </c>
      <c r="E19" s="264">
        <f t="shared" ref="E19:L19" si="2">SUM(E15:E18)</f>
        <v>1600</v>
      </c>
      <c r="F19" s="264">
        <f t="shared" si="2"/>
        <v>587538</v>
      </c>
      <c r="G19" s="264">
        <f t="shared" si="2"/>
        <v>46113</v>
      </c>
      <c r="H19" s="264">
        <f t="shared" si="2"/>
        <v>3427686.9901908152</v>
      </c>
      <c r="I19" s="264">
        <f t="shared" si="2"/>
        <v>136000</v>
      </c>
      <c r="J19" s="264">
        <f t="shared" si="2"/>
        <v>9000</v>
      </c>
      <c r="K19" s="264">
        <f t="shared" si="2"/>
        <v>6000</v>
      </c>
      <c r="L19" s="264">
        <f t="shared" si="2"/>
        <v>5165700</v>
      </c>
      <c r="M19" s="109">
        <f>'ES CT Gas Table A'!F24</f>
        <v>5165700</v>
      </c>
      <c r="N19" s="109">
        <f>M19-L19</f>
        <v>0</v>
      </c>
      <c r="P19" s="128">
        <v>4.2079765270243867E-2</v>
      </c>
      <c r="Q19" s="130">
        <v>-6341.0419083383185</v>
      </c>
    </row>
    <row r="20" spans="1:17" ht="26.25" customHeight="1" thickBot="1" x14ac:dyDescent="0.3">
      <c r="A20" s="23"/>
      <c r="B20" s="23"/>
      <c r="C20" s="602" t="s">
        <v>200</v>
      </c>
      <c r="D20" s="602"/>
      <c r="E20" s="602"/>
      <c r="F20" s="602"/>
      <c r="G20" s="602"/>
      <c r="H20" s="602"/>
      <c r="I20" s="602"/>
      <c r="J20" s="602"/>
      <c r="K20" s="602"/>
      <c r="L20" s="602"/>
      <c r="Q20" s="130">
        <v>-1090966</v>
      </c>
    </row>
    <row r="21" spans="1:17" ht="18" x14ac:dyDescent="0.25">
      <c r="A21" s="24"/>
      <c r="B21" s="24"/>
      <c r="C21" s="253" t="s">
        <v>294</v>
      </c>
      <c r="D21" s="455">
        <v>6721.5</v>
      </c>
      <c r="E21" s="455">
        <v>500</v>
      </c>
      <c r="F21" s="455">
        <f>M21-D21-E21-G21-H21-I21-J21-K21</f>
        <v>18505.830000000002</v>
      </c>
      <c r="G21" s="455">
        <v>0</v>
      </c>
      <c r="H21" s="455">
        <v>0</v>
      </c>
      <c r="I21" s="455">
        <v>4159</v>
      </c>
      <c r="J21" s="455">
        <v>500</v>
      </c>
      <c r="K21" s="455">
        <v>1000</v>
      </c>
      <c r="L21" s="254">
        <f>SUM(D21:K21)</f>
        <v>31386.33</v>
      </c>
      <c r="M21" s="109">
        <f>'ES CT Gas Table A'!F26</f>
        <v>31386.33</v>
      </c>
      <c r="N21" s="109">
        <f>M21-L21</f>
        <v>0</v>
      </c>
    </row>
    <row r="22" spans="1:17" ht="21.75" customHeight="1" x14ac:dyDescent="0.25">
      <c r="A22" s="24"/>
      <c r="B22" s="24"/>
      <c r="C22" s="255" t="s">
        <v>286</v>
      </c>
      <c r="D22" s="256">
        <v>6721.5</v>
      </c>
      <c r="E22" s="454">
        <v>0</v>
      </c>
      <c r="F22" s="454">
        <f>M22-D22-E22-G22-H22-I22-J22-K22</f>
        <v>15763.990000000002</v>
      </c>
      <c r="G22" s="454">
        <v>0</v>
      </c>
      <c r="H22" s="454">
        <v>0</v>
      </c>
      <c r="I22" s="454">
        <v>0</v>
      </c>
      <c r="J22" s="454">
        <v>0</v>
      </c>
      <c r="K22" s="454">
        <v>0</v>
      </c>
      <c r="L22" s="256">
        <f>SUM(D22:K22)</f>
        <v>22485.49</v>
      </c>
      <c r="M22" s="109">
        <f>'ES CT Gas Table A'!F27</f>
        <v>22485.49</v>
      </c>
      <c r="N22" s="109">
        <f>M22-L22</f>
        <v>0</v>
      </c>
    </row>
    <row r="23" spans="1:17" ht="20.25" customHeight="1" x14ac:dyDescent="0.25">
      <c r="A23" s="24"/>
      <c r="B23" s="24"/>
      <c r="C23" s="257" t="s">
        <v>287</v>
      </c>
      <c r="D23" s="455">
        <v>11082</v>
      </c>
      <c r="E23" s="455">
        <v>1000</v>
      </c>
      <c r="F23" s="455">
        <f>M23-D23-E23-G23-H23-I23-J23-K23</f>
        <v>8618</v>
      </c>
      <c r="G23" s="455">
        <v>0</v>
      </c>
      <c r="H23" s="455">
        <v>0</v>
      </c>
      <c r="I23" s="455">
        <v>12000</v>
      </c>
      <c r="J23" s="455">
        <v>2100</v>
      </c>
      <c r="K23" s="455">
        <v>1500</v>
      </c>
      <c r="L23" s="258">
        <f>SUM(D23:K23)</f>
        <v>36300</v>
      </c>
      <c r="M23" s="109">
        <f>'ES CT Gas Table A'!F28</f>
        <v>36300</v>
      </c>
      <c r="N23" s="109">
        <f>M23-L23</f>
        <v>0</v>
      </c>
    </row>
    <row r="24" spans="1:17" ht="18.75" thickBot="1" x14ac:dyDescent="0.3">
      <c r="A24" s="24"/>
      <c r="B24" s="24"/>
      <c r="C24" s="259" t="s">
        <v>288</v>
      </c>
      <c r="D24" s="454">
        <v>50237</v>
      </c>
      <c r="E24" s="454">
        <v>0</v>
      </c>
      <c r="F24" s="454">
        <f>M24-D24-E24-G24-H24-I24-J24-K24</f>
        <v>76014</v>
      </c>
      <c r="G24" s="454">
        <f>11600</f>
        <v>11600</v>
      </c>
      <c r="H24" s="454">
        <v>0</v>
      </c>
      <c r="I24" s="454">
        <v>0</v>
      </c>
      <c r="J24" s="454">
        <v>0</v>
      </c>
      <c r="K24" s="454">
        <v>0</v>
      </c>
      <c r="L24" s="260">
        <f>SUM(D24:K24)</f>
        <v>137851</v>
      </c>
      <c r="M24" s="109">
        <f>'ES CT Gas Table A'!F29</f>
        <v>137851</v>
      </c>
      <c r="N24" s="109">
        <f>M24-L24</f>
        <v>0</v>
      </c>
    </row>
    <row r="25" spans="1:17" ht="22.5" customHeight="1" thickBot="1" x14ac:dyDescent="0.3">
      <c r="A25" s="24"/>
      <c r="B25" s="24"/>
      <c r="C25" s="266" t="s">
        <v>228</v>
      </c>
      <c r="D25" s="264">
        <f t="shared" ref="D25:L25" si="3">SUM(D21:D24)</f>
        <v>74762</v>
      </c>
      <c r="E25" s="264">
        <f t="shared" si="3"/>
        <v>1500</v>
      </c>
      <c r="F25" s="264">
        <f t="shared" si="3"/>
        <v>118901.82</v>
      </c>
      <c r="G25" s="264">
        <f t="shared" si="3"/>
        <v>11600</v>
      </c>
      <c r="H25" s="264">
        <f t="shared" si="3"/>
        <v>0</v>
      </c>
      <c r="I25" s="264">
        <f t="shared" si="3"/>
        <v>16159</v>
      </c>
      <c r="J25" s="264">
        <f t="shared" si="3"/>
        <v>2600</v>
      </c>
      <c r="K25" s="264">
        <f t="shared" si="3"/>
        <v>2500</v>
      </c>
      <c r="L25" s="264">
        <f t="shared" si="3"/>
        <v>228022.82</v>
      </c>
      <c r="M25" s="109">
        <f>'ES CT Gas Table A'!F30</f>
        <v>228022.82</v>
      </c>
      <c r="N25" s="109">
        <f>M25-L25</f>
        <v>0</v>
      </c>
    </row>
    <row r="26" spans="1:17" s="25" customFormat="1" ht="24" customHeight="1" thickBot="1" x14ac:dyDescent="0.3">
      <c r="A26" s="24"/>
      <c r="B26" s="24"/>
      <c r="C26" s="603" t="s">
        <v>32</v>
      </c>
      <c r="D26" s="603"/>
      <c r="E26" s="603"/>
      <c r="F26" s="603"/>
      <c r="G26" s="603"/>
      <c r="H26" s="603"/>
      <c r="I26" s="603"/>
      <c r="J26" s="603"/>
      <c r="K26" s="603"/>
      <c r="L26" s="603"/>
    </row>
    <row r="27" spans="1:17" ht="36.75" thickBot="1" x14ac:dyDescent="0.3">
      <c r="A27" s="24"/>
      <c r="B27" s="24"/>
      <c r="C27" s="239" t="s">
        <v>220</v>
      </c>
      <c r="D27" s="247">
        <v>0</v>
      </c>
      <c r="E27" s="273">
        <v>0</v>
      </c>
      <c r="F27" s="252">
        <f>M27-D27-E27-G27-H27-I27-J27-K27</f>
        <v>77705</v>
      </c>
      <c r="G27" s="273">
        <v>0</v>
      </c>
      <c r="H27" s="273">
        <v>0</v>
      </c>
      <c r="I27" s="273">
        <v>0</v>
      </c>
      <c r="J27" s="273">
        <v>0</v>
      </c>
      <c r="K27" s="273">
        <v>0</v>
      </c>
      <c r="L27" s="271">
        <f>SUM(D27:K27)</f>
        <v>77705</v>
      </c>
      <c r="M27" s="109">
        <f>'ES CT Gas Table A'!F32</f>
        <v>77705</v>
      </c>
      <c r="N27" s="109">
        <f>M27-L27</f>
        <v>0</v>
      </c>
    </row>
    <row r="28" spans="1:17" ht="21.75" customHeight="1" thickBot="1" x14ac:dyDescent="0.3">
      <c r="A28" s="24"/>
      <c r="B28" s="24"/>
      <c r="C28" s="186" t="s">
        <v>121</v>
      </c>
      <c r="D28" s="247">
        <v>0</v>
      </c>
      <c r="E28" s="273">
        <v>0</v>
      </c>
      <c r="F28" s="252">
        <f>M28-D28-E28-G28-H28-I28-J28-K28</f>
        <v>2427</v>
      </c>
      <c r="G28" s="273">
        <v>0</v>
      </c>
      <c r="H28" s="273">
        <v>0</v>
      </c>
      <c r="I28" s="273">
        <v>0</v>
      </c>
      <c r="J28" s="274">
        <v>0</v>
      </c>
      <c r="K28" s="273">
        <v>0</v>
      </c>
      <c r="L28" s="271">
        <f>SUM(D28:K28)</f>
        <v>2427</v>
      </c>
      <c r="M28" s="109">
        <f>'ES CT Gas Table A'!F33</f>
        <v>2427</v>
      </c>
      <c r="N28" s="109">
        <f>M28-L28</f>
        <v>0</v>
      </c>
    </row>
    <row r="29" spans="1:17" ht="21.75" customHeight="1" thickBot="1" x14ac:dyDescent="0.3">
      <c r="A29" s="24"/>
      <c r="B29" s="24"/>
      <c r="C29" s="275" t="s">
        <v>43</v>
      </c>
      <c r="D29" s="247">
        <v>14420</v>
      </c>
      <c r="E29" s="273">
        <v>0</v>
      </c>
      <c r="F29" s="252">
        <f>M29-D29-E29-G29-H29-I29-J29-K29</f>
        <v>-9625</v>
      </c>
      <c r="G29" s="273">
        <v>0</v>
      </c>
      <c r="H29" s="273">
        <v>0</v>
      </c>
      <c r="I29" s="273">
        <v>0</v>
      </c>
      <c r="J29" s="273">
        <v>0</v>
      </c>
      <c r="K29" s="273">
        <v>0</v>
      </c>
      <c r="L29" s="271">
        <f>SUM(D29:K29)</f>
        <v>4795</v>
      </c>
      <c r="M29" s="109">
        <f>'ES CT Gas Table A'!F34</f>
        <v>4795</v>
      </c>
      <c r="N29" s="109">
        <f>M29-L29</f>
        <v>0</v>
      </c>
    </row>
    <row r="30" spans="1:17" s="25" customFormat="1" ht="22.5" customHeight="1" thickBot="1" x14ac:dyDescent="0.3">
      <c r="A30" s="24"/>
      <c r="B30" s="24"/>
      <c r="C30" s="266" t="s">
        <v>229</v>
      </c>
      <c r="D30" s="264">
        <f t="shared" ref="D30:L30" si="4">SUM(D27:D29)</f>
        <v>14420</v>
      </c>
      <c r="E30" s="264">
        <f t="shared" si="4"/>
        <v>0</v>
      </c>
      <c r="F30" s="264">
        <f t="shared" si="4"/>
        <v>70507</v>
      </c>
      <c r="G30" s="264">
        <f t="shared" si="4"/>
        <v>0</v>
      </c>
      <c r="H30" s="264">
        <f t="shared" si="4"/>
        <v>0</v>
      </c>
      <c r="I30" s="264">
        <f t="shared" si="4"/>
        <v>0</v>
      </c>
      <c r="J30" s="264">
        <f t="shared" si="4"/>
        <v>0</v>
      </c>
      <c r="K30" s="264">
        <f t="shared" si="4"/>
        <v>0</v>
      </c>
      <c r="L30" s="264">
        <f t="shared" si="4"/>
        <v>84927</v>
      </c>
      <c r="M30" s="109">
        <f>'ES CT Gas Table A'!F35</f>
        <v>84927</v>
      </c>
      <c r="N30" s="109">
        <f>M30-L30</f>
        <v>0</v>
      </c>
    </row>
    <row r="31" spans="1:17" ht="24" customHeight="1" thickBot="1" x14ac:dyDescent="0.3">
      <c r="A31" s="24"/>
      <c r="B31" s="24"/>
      <c r="C31" s="603" t="s">
        <v>33</v>
      </c>
      <c r="D31" s="603"/>
      <c r="E31" s="603"/>
      <c r="F31" s="603"/>
      <c r="G31" s="603"/>
      <c r="H31" s="603"/>
      <c r="I31" s="603"/>
      <c r="J31" s="603"/>
      <c r="K31" s="603"/>
      <c r="L31" s="603"/>
    </row>
    <row r="32" spans="1:17" ht="18.75" thickBot="1" x14ac:dyDescent="0.3">
      <c r="A32" s="24"/>
      <c r="B32" s="24"/>
      <c r="C32" s="181" t="s">
        <v>13</v>
      </c>
      <c r="D32" s="276">
        <v>75750</v>
      </c>
      <c r="E32" s="276">
        <v>0</v>
      </c>
      <c r="F32" s="276">
        <f>M32-D32-E32-G32-H32-I32-J32-K32</f>
        <v>-9182</v>
      </c>
      <c r="G32" s="276">
        <f>15000</f>
        <v>15000</v>
      </c>
      <c r="H32" s="276">
        <v>0</v>
      </c>
      <c r="I32" s="276">
        <v>0</v>
      </c>
      <c r="J32" s="276">
        <v>0</v>
      </c>
      <c r="K32" s="276">
        <v>0</v>
      </c>
      <c r="L32" s="248">
        <f>SUM(D32:K32)</f>
        <v>81568</v>
      </c>
      <c r="M32" s="109">
        <f>'ES CT Gas Table A'!F37</f>
        <v>81568</v>
      </c>
      <c r="N32" s="109">
        <f t="shared" ref="N32:N41" si="5">M32-L32</f>
        <v>0</v>
      </c>
    </row>
    <row r="33" spans="1:18" ht="18.75" thickBot="1" x14ac:dyDescent="0.3">
      <c r="A33" s="24"/>
      <c r="B33" s="24"/>
      <c r="C33" s="181" t="s">
        <v>14</v>
      </c>
      <c r="D33" s="276">
        <v>0</v>
      </c>
      <c r="E33" s="276">
        <v>0</v>
      </c>
      <c r="F33" s="276">
        <v>0</v>
      </c>
      <c r="G33" s="276">
        <v>0</v>
      </c>
      <c r="H33" s="276">
        <v>0</v>
      </c>
      <c r="I33" s="276">
        <f>M33-D33-E33-F33-G33-H33-J33-K33</f>
        <v>58999</v>
      </c>
      <c r="J33" s="276">
        <v>0</v>
      </c>
      <c r="K33" s="276">
        <v>0</v>
      </c>
      <c r="L33" s="248">
        <f t="shared" ref="L33:L39" si="6">SUM(D33:K33)</f>
        <v>58999</v>
      </c>
      <c r="M33" s="109">
        <f>'ES CT Gas Table A'!F38</f>
        <v>58999</v>
      </c>
      <c r="N33" s="109">
        <f t="shared" si="5"/>
        <v>0</v>
      </c>
    </row>
    <row r="34" spans="1:18" ht="19.5" customHeight="1" thickBot="1" x14ac:dyDescent="0.3">
      <c r="A34" s="24"/>
      <c r="B34" s="24"/>
      <c r="C34" s="181" t="s">
        <v>16</v>
      </c>
      <c r="D34" s="276">
        <v>73991.3</v>
      </c>
      <c r="E34" s="276">
        <v>0</v>
      </c>
      <c r="F34" s="276">
        <v>0</v>
      </c>
      <c r="G34" s="276">
        <v>5167</v>
      </c>
      <c r="H34" s="276">
        <v>0</v>
      </c>
      <c r="I34" s="276">
        <v>0</v>
      </c>
      <c r="J34" s="276">
        <v>0</v>
      </c>
      <c r="K34" s="276">
        <v>0</v>
      </c>
      <c r="L34" s="248">
        <f t="shared" si="6"/>
        <v>79158.3</v>
      </c>
      <c r="M34" s="109">
        <f>'ES CT Gas Table A'!F39</f>
        <v>88185</v>
      </c>
      <c r="N34" s="109">
        <f t="shared" si="5"/>
        <v>9026.6999999999971</v>
      </c>
    </row>
    <row r="35" spans="1:18" s="18" customFormat="1" ht="20.25" customHeight="1" thickBot="1" x14ac:dyDescent="0.3">
      <c r="A35" s="23"/>
      <c r="B35" s="23"/>
      <c r="C35" s="240" t="s">
        <v>150</v>
      </c>
      <c r="D35" s="276">
        <v>0</v>
      </c>
      <c r="E35" s="276">
        <v>0</v>
      </c>
      <c r="F35" s="276">
        <f t="shared" ref="F35:F39" si="7">M35-D35-E35-G35-H35-I35-J35-K35</f>
        <v>200000</v>
      </c>
      <c r="G35" s="276">
        <v>0</v>
      </c>
      <c r="H35" s="276">
        <v>0</v>
      </c>
      <c r="I35" s="276">
        <v>0</v>
      </c>
      <c r="J35" s="276">
        <v>0</v>
      </c>
      <c r="K35" s="276">
        <v>0</v>
      </c>
      <c r="L35" s="248">
        <f t="shared" si="6"/>
        <v>200000</v>
      </c>
      <c r="M35" s="109">
        <f>'ES CT Gas Table A'!F40</f>
        <v>200000</v>
      </c>
      <c r="N35" s="109">
        <f t="shared" si="5"/>
        <v>0</v>
      </c>
    </row>
    <row r="36" spans="1:18" s="18" customFormat="1" ht="18.75" customHeight="1" thickBot="1" x14ac:dyDescent="0.3">
      <c r="A36" s="23"/>
      <c r="B36" s="23"/>
      <c r="C36" s="240" t="s">
        <v>147</v>
      </c>
      <c r="D36" s="276">
        <v>0</v>
      </c>
      <c r="E36" s="276">
        <v>0</v>
      </c>
      <c r="F36" s="276">
        <f t="shared" si="7"/>
        <v>28548</v>
      </c>
      <c r="G36" s="276">
        <v>0</v>
      </c>
      <c r="H36" s="276">
        <v>0</v>
      </c>
      <c r="I36" s="276">
        <v>0</v>
      </c>
      <c r="J36" s="276">
        <v>0</v>
      </c>
      <c r="K36" s="276">
        <v>0</v>
      </c>
      <c r="L36" s="248">
        <f t="shared" si="6"/>
        <v>28548</v>
      </c>
      <c r="M36" s="109">
        <f>'ES CT Gas Table A'!F41</f>
        <v>28548</v>
      </c>
      <c r="N36" s="109">
        <f t="shared" si="5"/>
        <v>0</v>
      </c>
    </row>
    <row r="37" spans="1:18" ht="19.5" customHeight="1" thickBot="1" x14ac:dyDescent="0.3">
      <c r="A37" s="24"/>
      <c r="B37" s="24"/>
      <c r="C37" s="181" t="s">
        <v>15</v>
      </c>
      <c r="D37" s="276">
        <v>25841.718228318303</v>
      </c>
      <c r="E37" s="276">
        <v>0</v>
      </c>
      <c r="F37" s="276">
        <f t="shared" si="7"/>
        <v>127464.28177168171</v>
      </c>
      <c r="G37" s="276">
        <f>10333+15000</f>
        <v>25333</v>
      </c>
      <c r="H37" s="276">
        <v>0</v>
      </c>
      <c r="I37" s="276">
        <v>0</v>
      </c>
      <c r="J37" s="276">
        <v>0</v>
      </c>
      <c r="K37" s="276">
        <v>0</v>
      </c>
      <c r="L37" s="248">
        <f>SUM(D37:K37)</f>
        <v>178639</v>
      </c>
      <c r="M37" s="109">
        <f>'ES CT Gas Table A'!F42</f>
        <v>178639</v>
      </c>
      <c r="N37" s="109">
        <f t="shared" si="5"/>
        <v>0</v>
      </c>
    </row>
    <row r="38" spans="1:18" ht="21.75" customHeight="1" thickBot="1" x14ac:dyDescent="0.3">
      <c r="A38" s="23"/>
      <c r="B38" s="23"/>
      <c r="C38" s="181" t="s">
        <v>148</v>
      </c>
      <c r="D38" s="276">
        <v>0</v>
      </c>
      <c r="E38" s="276">
        <v>0</v>
      </c>
      <c r="F38" s="276">
        <f t="shared" si="7"/>
        <v>41913</v>
      </c>
      <c r="G38" s="276">
        <v>0</v>
      </c>
      <c r="H38" s="276">
        <v>0</v>
      </c>
      <c r="I38" s="276">
        <v>0</v>
      </c>
      <c r="J38" s="276">
        <v>0</v>
      </c>
      <c r="K38" s="276">
        <v>0</v>
      </c>
      <c r="L38" s="248">
        <f t="shared" si="6"/>
        <v>41913</v>
      </c>
      <c r="M38" s="109">
        <f>'ES CT Gas Table A'!F43</f>
        <v>41913</v>
      </c>
      <c r="N38" s="109">
        <f t="shared" si="5"/>
        <v>0</v>
      </c>
    </row>
    <row r="39" spans="1:18" ht="22.5" customHeight="1" thickBot="1" x14ac:dyDescent="0.3">
      <c r="A39" s="23"/>
      <c r="B39" s="23"/>
      <c r="C39" s="181" t="s">
        <v>151</v>
      </c>
      <c r="D39" s="276">
        <v>0</v>
      </c>
      <c r="E39" s="276">
        <v>0</v>
      </c>
      <c r="F39" s="276">
        <f t="shared" si="7"/>
        <v>10000</v>
      </c>
      <c r="G39" s="276">
        <v>0</v>
      </c>
      <c r="H39" s="276">
        <v>0</v>
      </c>
      <c r="I39" s="276">
        <v>0</v>
      </c>
      <c r="J39" s="276">
        <v>0</v>
      </c>
      <c r="K39" s="276">
        <v>0</v>
      </c>
      <c r="L39" s="248">
        <f t="shared" si="6"/>
        <v>10000</v>
      </c>
      <c r="M39" s="109">
        <f>'ES CT Gas Table A'!F44</f>
        <v>10000</v>
      </c>
      <c r="N39" s="109">
        <f t="shared" si="5"/>
        <v>0</v>
      </c>
    </row>
    <row r="40" spans="1:18" ht="23.25" customHeight="1" thickBot="1" x14ac:dyDescent="0.3">
      <c r="A40" s="23"/>
      <c r="B40" s="23"/>
      <c r="C40" s="181" t="s">
        <v>149</v>
      </c>
      <c r="D40" s="276">
        <v>0</v>
      </c>
      <c r="E40" s="276">
        <v>0</v>
      </c>
      <c r="F40" s="276">
        <v>0</v>
      </c>
      <c r="G40" s="276">
        <v>0</v>
      </c>
      <c r="H40" s="276">
        <v>0</v>
      </c>
      <c r="I40" s="276">
        <v>0</v>
      </c>
      <c r="J40" s="276">
        <f>M40</f>
        <v>1347734</v>
      </c>
      <c r="K40" s="276">
        <v>0</v>
      </c>
      <c r="L40" s="248">
        <f>SUM(D40:K40)</f>
        <v>1347734</v>
      </c>
      <c r="M40" s="109">
        <f>'ES CT Gas Table A'!F45</f>
        <v>1347734</v>
      </c>
      <c r="N40" s="109">
        <f t="shared" si="5"/>
        <v>0</v>
      </c>
    </row>
    <row r="41" spans="1:18" ht="21.75" customHeight="1" thickBot="1" x14ac:dyDescent="0.3">
      <c r="A41" s="23"/>
      <c r="B41" s="23"/>
      <c r="C41" s="266" t="s">
        <v>34</v>
      </c>
      <c r="D41" s="277">
        <f t="shared" ref="D41:L41" si="8">SUM(D32:D40)</f>
        <v>175583.01822831828</v>
      </c>
      <c r="E41" s="267">
        <f t="shared" si="8"/>
        <v>0</v>
      </c>
      <c r="F41" s="267">
        <f t="shared" si="8"/>
        <v>398743.28177168174</v>
      </c>
      <c r="G41" s="267">
        <f t="shared" si="8"/>
        <v>45500</v>
      </c>
      <c r="H41" s="267">
        <f t="shared" si="8"/>
        <v>0</v>
      </c>
      <c r="I41" s="267">
        <f t="shared" si="8"/>
        <v>58999</v>
      </c>
      <c r="J41" s="267">
        <f t="shared" si="8"/>
        <v>1347734</v>
      </c>
      <c r="K41" s="267">
        <f t="shared" si="8"/>
        <v>0</v>
      </c>
      <c r="L41" s="267">
        <f t="shared" si="8"/>
        <v>2026559.3</v>
      </c>
      <c r="M41" s="109">
        <f>'ES CT Gas Table A'!F46</f>
        <v>2035586</v>
      </c>
      <c r="N41" s="109">
        <f t="shared" si="5"/>
        <v>9026.6999999999534</v>
      </c>
    </row>
    <row r="42" spans="1:18" ht="16.5" customHeight="1" thickBot="1" x14ac:dyDescent="0.3">
      <c r="A42" s="23"/>
      <c r="B42" s="23"/>
      <c r="C42" s="604" t="s">
        <v>35</v>
      </c>
      <c r="D42" s="604"/>
      <c r="E42" s="604"/>
      <c r="F42" s="604"/>
      <c r="G42" s="604"/>
      <c r="H42" s="604"/>
      <c r="I42" s="604"/>
      <c r="J42" s="604"/>
      <c r="K42" s="604"/>
      <c r="L42" s="604"/>
    </row>
    <row r="43" spans="1:18" ht="16.5" customHeight="1" thickBot="1" x14ac:dyDescent="0.3">
      <c r="A43" s="23"/>
      <c r="B43" s="23"/>
      <c r="C43" s="278" t="s">
        <v>6</v>
      </c>
      <c r="D43" s="279">
        <f>D13+D21*0.8+D23*0.5+D22*0.5+D27+D33*0.8+D24*0.8</f>
        <v>1055967.6519560001</v>
      </c>
      <c r="E43" s="279">
        <f t="shared" ref="E43:K43" si="9">E13+E21*0.8+E23*0.5+E22*0.5+E27+E33*0.8+E24*0.8</f>
        <v>2484</v>
      </c>
      <c r="F43" s="279">
        <f t="shared" si="9"/>
        <v>755511.85899999994</v>
      </c>
      <c r="G43" s="279">
        <f t="shared" si="9"/>
        <v>50280</v>
      </c>
      <c r="H43" s="279">
        <f t="shared" si="9"/>
        <v>13921213.298044</v>
      </c>
      <c r="I43" s="279">
        <f t="shared" si="9"/>
        <v>422526.4</v>
      </c>
      <c r="J43" s="279">
        <f t="shared" si="9"/>
        <v>16550</v>
      </c>
      <c r="K43" s="279">
        <f t="shared" si="9"/>
        <v>18550</v>
      </c>
      <c r="L43" s="279">
        <f t="shared" ref="L43" si="10">L13+L21*0.8+L23*0.5+L22*0.5+L27+L33*0.8+L24*0.8</f>
        <v>16243083.208999997</v>
      </c>
      <c r="M43" s="109">
        <f>'ES CT Gas Table A'!F47</f>
        <v>16243083.208999997</v>
      </c>
      <c r="N43" s="109">
        <f>M43-L43</f>
        <v>0</v>
      </c>
    </row>
    <row r="44" spans="1:18" ht="16.5" customHeight="1" thickBot="1" x14ac:dyDescent="0.3">
      <c r="C44" s="278" t="s">
        <v>7</v>
      </c>
      <c r="D44" s="279">
        <f>D19+D21*0.2+D23*0.5+D22*0.5+D24*0.2+D28+D33*0.2</f>
        <v>972055.45980918535</v>
      </c>
      <c r="E44" s="279">
        <f t="shared" ref="E44:L44" si="11">E19+E21*0.2+E23*0.5+E22*0.5+E24*0.2+E28+E33*0.2</f>
        <v>2200</v>
      </c>
      <c r="F44" s="279">
        <f t="shared" si="11"/>
        <v>621059.96100000001</v>
      </c>
      <c r="G44" s="279">
        <f t="shared" si="11"/>
        <v>48433</v>
      </c>
      <c r="H44" s="279">
        <f t="shared" si="11"/>
        <v>3427686.9901908152</v>
      </c>
      <c r="I44" s="279">
        <f t="shared" si="11"/>
        <v>154631.59999999998</v>
      </c>
      <c r="J44" s="279">
        <f t="shared" si="11"/>
        <v>10150</v>
      </c>
      <c r="K44" s="279">
        <f t="shared" si="11"/>
        <v>6950</v>
      </c>
      <c r="L44" s="279">
        <f t="shared" si="11"/>
        <v>5243167.0109999999</v>
      </c>
      <c r="M44" s="109">
        <f>'ES CT Gas Table A'!F48</f>
        <v>5243167.0109999999</v>
      </c>
      <c r="N44" s="109">
        <f>M44-L44</f>
        <v>0</v>
      </c>
    </row>
    <row r="45" spans="1:18" ht="16.5" customHeight="1" thickBot="1" x14ac:dyDescent="0.3">
      <c r="A45" s="27"/>
      <c r="B45" s="27"/>
      <c r="C45" s="278" t="s">
        <v>18</v>
      </c>
      <c r="D45" s="456">
        <f t="shared" ref="D45:K45" si="12">+D29+D32+SUM(D34:D40)</f>
        <v>190003.01822831831</v>
      </c>
      <c r="E45" s="279">
        <f t="shared" si="12"/>
        <v>0</v>
      </c>
      <c r="F45" s="279">
        <f t="shared" si="12"/>
        <v>389118.28177168174</v>
      </c>
      <c r="G45" s="279">
        <f t="shared" si="12"/>
        <v>45500</v>
      </c>
      <c r="H45" s="279">
        <f t="shared" si="12"/>
        <v>0</v>
      </c>
      <c r="I45" s="279">
        <f t="shared" si="12"/>
        <v>0</v>
      </c>
      <c r="J45" s="279">
        <f t="shared" si="12"/>
        <v>1347734</v>
      </c>
      <c r="K45" s="279">
        <f t="shared" si="12"/>
        <v>0</v>
      </c>
      <c r="L45" s="279">
        <f>SUM(D45:K45)</f>
        <v>1972355.3</v>
      </c>
      <c r="M45" s="109">
        <f>'ES CT Gas Table A'!F49</f>
        <v>1981382</v>
      </c>
      <c r="N45" s="109">
        <f>M45-L45</f>
        <v>9026.6999999999534</v>
      </c>
    </row>
    <row r="46" spans="1:18" ht="20.25" customHeight="1" thickBot="1" x14ac:dyDescent="0.3">
      <c r="A46" s="23"/>
      <c r="B46" s="23"/>
      <c r="C46" s="266" t="s">
        <v>36</v>
      </c>
      <c r="D46" s="268">
        <f t="shared" ref="D46:L46" si="13">SUM(D43:D45)</f>
        <v>2218026.1299935039</v>
      </c>
      <c r="E46" s="268">
        <f t="shared" si="13"/>
        <v>4684</v>
      </c>
      <c r="F46" s="268">
        <f t="shared" si="13"/>
        <v>1765690.1017716816</v>
      </c>
      <c r="G46" s="267">
        <f t="shared" si="13"/>
        <v>144213</v>
      </c>
      <c r="H46" s="268">
        <f t="shared" si="13"/>
        <v>17348900.288234815</v>
      </c>
      <c r="I46" s="268">
        <f t="shared" si="13"/>
        <v>577158</v>
      </c>
      <c r="J46" s="268">
        <f t="shared" si="13"/>
        <v>1374434</v>
      </c>
      <c r="K46" s="268">
        <f t="shared" si="13"/>
        <v>25500</v>
      </c>
      <c r="L46" s="268">
        <f t="shared" si="13"/>
        <v>23458605.52</v>
      </c>
      <c r="M46" s="109">
        <f>'ES CT Gas Table A'!F50</f>
        <v>23467632.219999999</v>
      </c>
      <c r="N46" s="109">
        <f>M46-L46</f>
        <v>9026.6999999992549</v>
      </c>
    </row>
    <row r="47" spans="1:18" s="106" customFormat="1" ht="18.75" x14ac:dyDescent="0.3">
      <c r="A47" s="107"/>
      <c r="B47" s="107"/>
      <c r="C47" s="281"/>
      <c r="D47" s="282"/>
      <c r="E47" s="283"/>
      <c r="F47" s="284">
        <f>F46-F35-F36</f>
        <v>1537142.1017716816</v>
      </c>
      <c r="G47" s="283"/>
      <c r="H47" s="285"/>
      <c r="I47" s="285"/>
      <c r="J47" s="285"/>
      <c r="K47" s="285"/>
      <c r="L47" s="286"/>
      <c r="M47" s="17"/>
      <c r="N47" s="17"/>
      <c r="O47" s="17"/>
      <c r="P47" s="17"/>
      <c r="Q47" s="17"/>
      <c r="R47" s="17"/>
    </row>
    <row r="48" spans="1:18" s="108" customFormat="1" ht="18.75" x14ac:dyDescent="0.3">
      <c r="C48" s="287" t="s">
        <v>5</v>
      </c>
      <c r="D48" s="288"/>
      <c r="E48" s="289"/>
      <c r="F48" s="289"/>
      <c r="G48" s="289"/>
      <c r="H48" s="289"/>
      <c r="I48" s="288"/>
      <c r="J48" s="452" t="s">
        <v>5</v>
      </c>
      <c r="K48" s="288"/>
      <c r="L48" s="288"/>
      <c r="M48" s="109">
        <f>M41+M30+M25+M19+M13</f>
        <v>23467632.219999999</v>
      </c>
    </row>
    <row r="49" spans="1:12" x14ac:dyDescent="0.25">
      <c r="A49" s="29"/>
      <c r="B49" s="29"/>
      <c r="C49" s="31"/>
    </row>
    <row r="50" spans="1:12" x14ac:dyDescent="0.25">
      <c r="A50" s="29"/>
      <c r="B50" s="29"/>
      <c r="C50" s="32"/>
      <c r="E50" s="28"/>
      <c r="G50" s="28"/>
    </row>
    <row r="51" spans="1:12" x14ac:dyDescent="0.25">
      <c r="C51" s="32"/>
    </row>
    <row r="52" spans="1:12" x14ac:dyDescent="0.25">
      <c r="C52" s="32"/>
    </row>
    <row r="53" spans="1:12" x14ac:dyDescent="0.25">
      <c r="C53" s="32"/>
    </row>
    <row r="54" spans="1:12" x14ac:dyDescent="0.25">
      <c r="C54" s="32"/>
    </row>
    <row r="55" spans="1:12" s="28" customFormat="1" x14ac:dyDescent="0.25">
      <c r="A55" s="17"/>
      <c r="B55" s="17"/>
      <c r="C55" s="32"/>
      <c r="E55" s="30"/>
      <c r="G55" s="30"/>
      <c r="H55" s="17"/>
      <c r="I55" s="17"/>
      <c r="J55" s="17"/>
      <c r="K55" s="17"/>
      <c r="L55" s="17"/>
    </row>
    <row r="56" spans="1:12" s="28" customFormat="1" x14ac:dyDescent="0.25">
      <c r="A56" s="17"/>
      <c r="B56" s="17"/>
      <c r="C56" s="32"/>
      <c r="E56" s="30"/>
      <c r="G56" s="30"/>
      <c r="H56" s="17"/>
      <c r="I56" s="17"/>
      <c r="J56" s="17"/>
      <c r="K56" s="17"/>
      <c r="L56" s="17"/>
    </row>
    <row r="57" spans="1:12" s="28" customFormat="1" x14ac:dyDescent="0.25">
      <c r="A57" s="17"/>
      <c r="B57" s="17"/>
      <c r="C57" s="32"/>
      <c r="E57" s="30"/>
      <c r="G57" s="30"/>
      <c r="H57" s="17"/>
      <c r="I57" s="17"/>
      <c r="J57" s="17"/>
      <c r="K57" s="17"/>
      <c r="L57" s="17"/>
    </row>
    <row r="58" spans="1:12" s="28" customFormat="1" x14ac:dyDescent="0.25">
      <c r="A58" s="17"/>
      <c r="B58" s="17"/>
      <c r="C58" s="32"/>
      <c r="E58" s="30"/>
      <c r="G58" s="30"/>
      <c r="H58" s="17"/>
      <c r="I58" s="17"/>
      <c r="J58" s="17"/>
      <c r="K58" s="17"/>
      <c r="L58" s="17"/>
    </row>
  </sheetData>
  <mergeCells count="9">
    <mergeCell ref="C20:L20"/>
    <mergeCell ref="C26:L26"/>
    <mergeCell ref="C31:L31"/>
    <mergeCell ref="C42:L42"/>
    <mergeCell ref="C2:L2"/>
    <mergeCell ref="C3:L3"/>
    <mergeCell ref="C4:L4"/>
    <mergeCell ref="C7:L7"/>
    <mergeCell ref="C14:L14"/>
  </mergeCells>
  <pageMargins left="0.7" right="0.7" top="0.75" bottom="0.75" header="0.3" footer="0.3"/>
  <pageSetup scale="53" orientation="landscape"/>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C000"/>
  </sheetPr>
  <dimension ref="B2:G45"/>
  <sheetViews>
    <sheetView showGridLines="0" topLeftCell="A4" zoomScale="85" zoomScaleNormal="85" workbookViewId="0">
      <selection activeCell="M8" sqref="M8"/>
    </sheetView>
  </sheetViews>
  <sheetFormatPr defaultRowHeight="12.75" x14ac:dyDescent="0.2"/>
  <cols>
    <col min="2" max="2" width="30.85546875" customWidth="1"/>
    <col min="3" max="3" width="16.5703125" bestFit="1" customWidth="1"/>
    <col min="4" max="4" width="3.140625" customWidth="1"/>
    <col min="5" max="5" width="11.5703125" customWidth="1"/>
    <col min="6" max="6" width="22.7109375" customWidth="1"/>
    <col min="7" max="7" width="19.140625" customWidth="1"/>
    <col min="258" max="258" width="22.7109375" customWidth="1"/>
    <col min="259" max="259" width="14.85546875" customWidth="1"/>
    <col min="260" max="260" width="10.7109375" customWidth="1"/>
    <col min="261" max="261" width="14.42578125" customWidth="1"/>
    <col min="262" max="262" width="22.7109375" customWidth="1"/>
    <col min="263" max="263" width="19.140625" customWidth="1"/>
    <col min="514" max="514" width="22.7109375" customWidth="1"/>
    <col min="515" max="515" width="14.85546875" customWidth="1"/>
    <col min="516" max="516" width="10.7109375" customWidth="1"/>
    <col min="517" max="517" width="14.42578125" customWidth="1"/>
    <col min="518" max="518" width="22.7109375" customWidth="1"/>
    <col min="519" max="519" width="19.140625" customWidth="1"/>
    <col min="770" max="770" width="22.7109375" customWidth="1"/>
    <col min="771" max="771" width="14.85546875" customWidth="1"/>
    <col min="772" max="772" width="10.7109375" customWidth="1"/>
    <col min="773" max="773" width="14.42578125" customWidth="1"/>
    <col min="774" max="774" width="22.7109375" customWidth="1"/>
    <col min="775" max="775" width="19.140625" customWidth="1"/>
    <col min="1026" max="1026" width="22.7109375" customWidth="1"/>
    <col min="1027" max="1027" width="14.85546875" customWidth="1"/>
    <col min="1028" max="1028" width="10.7109375" customWidth="1"/>
    <col min="1029" max="1029" width="14.42578125" customWidth="1"/>
    <col min="1030" max="1030" width="22.7109375" customWidth="1"/>
    <col min="1031" max="1031" width="19.140625" customWidth="1"/>
    <col min="1282" max="1282" width="22.7109375" customWidth="1"/>
    <col min="1283" max="1283" width="14.85546875" customWidth="1"/>
    <col min="1284" max="1284" width="10.7109375" customWidth="1"/>
    <col min="1285" max="1285" width="14.42578125" customWidth="1"/>
    <col min="1286" max="1286" width="22.7109375" customWidth="1"/>
    <col min="1287" max="1287" width="19.140625" customWidth="1"/>
    <col min="1538" max="1538" width="22.7109375" customWidth="1"/>
    <col min="1539" max="1539" width="14.85546875" customWidth="1"/>
    <col min="1540" max="1540" width="10.7109375" customWidth="1"/>
    <col min="1541" max="1541" width="14.42578125" customWidth="1"/>
    <col min="1542" max="1542" width="22.7109375" customWidth="1"/>
    <col min="1543" max="1543" width="19.140625" customWidth="1"/>
    <col min="1794" max="1794" width="22.7109375" customWidth="1"/>
    <col min="1795" max="1795" width="14.85546875" customWidth="1"/>
    <col min="1796" max="1796" width="10.7109375" customWidth="1"/>
    <col min="1797" max="1797" width="14.42578125" customWidth="1"/>
    <col min="1798" max="1798" width="22.7109375" customWidth="1"/>
    <col min="1799" max="1799" width="19.140625" customWidth="1"/>
    <col min="2050" max="2050" width="22.7109375" customWidth="1"/>
    <col min="2051" max="2051" width="14.85546875" customWidth="1"/>
    <col min="2052" max="2052" width="10.7109375" customWidth="1"/>
    <col min="2053" max="2053" width="14.42578125" customWidth="1"/>
    <col min="2054" max="2054" width="22.7109375" customWidth="1"/>
    <col min="2055" max="2055" width="19.140625" customWidth="1"/>
    <col min="2306" max="2306" width="22.7109375" customWidth="1"/>
    <col min="2307" max="2307" width="14.85546875" customWidth="1"/>
    <col min="2308" max="2308" width="10.7109375" customWidth="1"/>
    <col min="2309" max="2309" width="14.42578125" customWidth="1"/>
    <col min="2310" max="2310" width="22.7109375" customWidth="1"/>
    <col min="2311" max="2311" width="19.140625" customWidth="1"/>
    <col min="2562" max="2562" width="22.7109375" customWidth="1"/>
    <col min="2563" max="2563" width="14.85546875" customWidth="1"/>
    <col min="2564" max="2564" width="10.7109375" customWidth="1"/>
    <col min="2565" max="2565" width="14.42578125" customWidth="1"/>
    <col min="2566" max="2566" width="22.7109375" customWidth="1"/>
    <col min="2567" max="2567" width="19.140625" customWidth="1"/>
    <col min="2818" max="2818" width="22.7109375" customWidth="1"/>
    <col min="2819" max="2819" width="14.85546875" customWidth="1"/>
    <col min="2820" max="2820" width="10.7109375" customWidth="1"/>
    <col min="2821" max="2821" width="14.42578125" customWidth="1"/>
    <col min="2822" max="2822" width="22.7109375" customWidth="1"/>
    <col min="2823" max="2823" width="19.140625" customWidth="1"/>
    <col min="3074" max="3074" width="22.7109375" customWidth="1"/>
    <col min="3075" max="3075" width="14.85546875" customWidth="1"/>
    <col min="3076" max="3076" width="10.7109375" customWidth="1"/>
    <col min="3077" max="3077" width="14.42578125" customWidth="1"/>
    <col min="3078" max="3078" width="22.7109375" customWidth="1"/>
    <col min="3079" max="3079" width="19.140625" customWidth="1"/>
    <col min="3330" max="3330" width="22.7109375" customWidth="1"/>
    <col min="3331" max="3331" width="14.85546875" customWidth="1"/>
    <col min="3332" max="3332" width="10.7109375" customWidth="1"/>
    <col min="3333" max="3333" width="14.42578125" customWidth="1"/>
    <col min="3334" max="3334" width="22.7109375" customWidth="1"/>
    <col min="3335" max="3335" width="19.140625" customWidth="1"/>
    <col min="3586" max="3586" width="22.7109375" customWidth="1"/>
    <col min="3587" max="3587" width="14.85546875" customWidth="1"/>
    <col min="3588" max="3588" width="10.7109375" customWidth="1"/>
    <col min="3589" max="3589" width="14.42578125" customWidth="1"/>
    <col min="3590" max="3590" width="22.7109375" customWidth="1"/>
    <col min="3591" max="3591" width="19.140625" customWidth="1"/>
    <col min="3842" max="3842" width="22.7109375" customWidth="1"/>
    <col min="3843" max="3843" width="14.85546875" customWidth="1"/>
    <col min="3844" max="3844" width="10.7109375" customWidth="1"/>
    <col min="3845" max="3845" width="14.42578125" customWidth="1"/>
    <col min="3846" max="3846" width="22.7109375" customWidth="1"/>
    <col min="3847" max="3847" width="19.140625" customWidth="1"/>
    <col min="4098" max="4098" width="22.7109375" customWidth="1"/>
    <col min="4099" max="4099" width="14.85546875" customWidth="1"/>
    <col min="4100" max="4100" width="10.7109375" customWidth="1"/>
    <col min="4101" max="4101" width="14.42578125" customWidth="1"/>
    <col min="4102" max="4102" width="22.7109375" customWidth="1"/>
    <col min="4103" max="4103" width="19.140625" customWidth="1"/>
    <col min="4354" max="4354" width="22.7109375" customWidth="1"/>
    <col min="4355" max="4355" width="14.85546875" customWidth="1"/>
    <col min="4356" max="4356" width="10.7109375" customWidth="1"/>
    <col min="4357" max="4357" width="14.42578125" customWidth="1"/>
    <col min="4358" max="4358" width="22.7109375" customWidth="1"/>
    <col min="4359" max="4359" width="19.140625" customWidth="1"/>
    <col min="4610" max="4610" width="22.7109375" customWidth="1"/>
    <col min="4611" max="4611" width="14.85546875" customWidth="1"/>
    <col min="4612" max="4612" width="10.7109375" customWidth="1"/>
    <col min="4613" max="4613" width="14.42578125" customWidth="1"/>
    <col min="4614" max="4614" width="22.7109375" customWidth="1"/>
    <col min="4615" max="4615" width="19.140625" customWidth="1"/>
    <col min="4866" max="4866" width="22.7109375" customWidth="1"/>
    <col min="4867" max="4867" width="14.85546875" customWidth="1"/>
    <col min="4868" max="4868" width="10.7109375" customWidth="1"/>
    <col min="4869" max="4869" width="14.42578125" customWidth="1"/>
    <col min="4870" max="4870" width="22.7109375" customWidth="1"/>
    <col min="4871" max="4871" width="19.140625" customWidth="1"/>
    <col min="5122" max="5122" width="22.7109375" customWidth="1"/>
    <col min="5123" max="5123" width="14.85546875" customWidth="1"/>
    <col min="5124" max="5124" width="10.7109375" customWidth="1"/>
    <col min="5125" max="5125" width="14.42578125" customWidth="1"/>
    <col min="5126" max="5126" width="22.7109375" customWidth="1"/>
    <col min="5127" max="5127" width="19.140625" customWidth="1"/>
    <col min="5378" max="5378" width="22.7109375" customWidth="1"/>
    <col min="5379" max="5379" width="14.85546875" customWidth="1"/>
    <col min="5380" max="5380" width="10.7109375" customWidth="1"/>
    <col min="5381" max="5381" width="14.42578125" customWidth="1"/>
    <col min="5382" max="5382" width="22.7109375" customWidth="1"/>
    <col min="5383" max="5383" width="19.140625" customWidth="1"/>
    <col min="5634" max="5634" width="22.7109375" customWidth="1"/>
    <col min="5635" max="5635" width="14.85546875" customWidth="1"/>
    <col min="5636" max="5636" width="10.7109375" customWidth="1"/>
    <col min="5637" max="5637" width="14.42578125" customWidth="1"/>
    <col min="5638" max="5638" width="22.7109375" customWidth="1"/>
    <col min="5639" max="5639" width="19.140625" customWidth="1"/>
    <col min="5890" max="5890" width="22.7109375" customWidth="1"/>
    <col min="5891" max="5891" width="14.85546875" customWidth="1"/>
    <col min="5892" max="5892" width="10.7109375" customWidth="1"/>
    <col min="5893" max="5893" width="14.42578125" customWidth="1"/>
    <col min="5894" max="5894" width="22.7109375" customWidth="1"/>
    <col min="5895" max="5895" width="19.140625" customWidth="1"/>
    <col min="6146" max="6146" width="22.7109375" customWidth="1"/>
    <col min="6147" max="6147" width="14.85546875" customWidth="1"/>
    <col min="6148" max="6148" width="10.7109375" customWidth="1"/>
    <col min="6149" max="6149" width="14.42578125" customWidth="1"/>
    <col min="6150" max="6150" width="22.7109375" customWidth="1"/>
    <col min="6151" max="6151" width="19.140625" customWidth="1"/>
    <col min="6402" max="6402" width="22.7109375" customWidth="1"/>
    <col min="6403" max="6403" width="14.85546875" customWidth="1"/>
    <col min="6404" max="6404" width="10.7109375" customWidth="1"/>
    <col min="6405" max="6405" width="14.42578125" customWidth="1"/>
    <col min="6406" max="6406" width="22.7109375" customWidth="1"/>
    <col min="6407" max="6407" width="19.140625" customWidth="1"/>
    <col min="6658" max="6658" width="22.7109375" customWidth="1"/>
    <col min="6659" max="6659" width="14.85546875" customWidth="1"/>
    <col min="6660" max="6660" width="10.7109375" customWidth="1"/>
    <col min="6661" max="6661" width="14.42578125" customWidth="1"/>
    <col min="6662" max="6662" width="22.7109375" customWidth="1"/>
    <col min="6663" max="6663" width="19.140625" customWidth="1"/>
    <col min="6914" max="6914" width="22.7109375" customWidth="1"/>
    <col min="6915" max="6915" width="14.85546875" customWidth="1"/>
    <col min="6916" max="6916" width="10.7109375" customWidth="1"/>
    <col min="6917" max="6917" width="14.42578125" customWidth="1"/>
    <col min="6918" max="6918" width="22.7109375" customWidth="1"/>
    <col min="6919" max="6919" width="19.140625" customWidth="1"/>
    <col min="7170" max="7170" width="22.7109375" customWidth="1"/>
    <col min="7171" max="7171" width="14.85546875" customWidth="1"/>
    <col min="7172" max="7172" width="10.7109375" customWidth="1"/>
    <col min="7173" max="7173" width="14.42578125" customWidth="1"/>
    <col min="7174" max="7174" width="22.7109375" customWidth="1"/>
    <col min="7175" max="7175" width="19.140625" customWidth="1"/>
    <col min="7426" max="7426" width="22.7109375" customWidth="1"/>
    <col min="7427" max="7427" width="14.85546875" customWidth="1"/>
    <col min="7428" max="7428" width="10.7109375" customWidth="1"/>
    <col min="7429" max="7429" width="14.42578125" customWidth="1"/>
    <col min="7430" max="7430" width="22.7109375" customWidth="1"/>
    <col min="7431" max="7431" width="19.140625" customWidth="1"/>
    <col min="7682" max="7682" width="22.7109375" customWidth="1"/>
    <col min="7683" max="7683" width="14.85546875" customWidth="1"/>
    <col min="7684" max="7684" width="10.7109375" customWidth="1"/>
    <col min="7685" max="7685" width="14.42578125" customWidth="1"/>
    <col min="7686" max="7686" width="22.7109375" customWidth="1"/>
    <col min="7687" max="7687" width="19.140625" customWidth="1"/>
    <col min="7938" max="7938" width="22.7109375" customWidth="1"/>
    <col min="7939" max="7939" width="14.85546875" customWidth="1"/>
    <col min="7940" max="7940" width="10.7109375" customWidth="1"/>
    <col min="7941" max="7941" width="14.42578125" customWidth="1"/>
    <col min="7942" max="7942" width="22.7109375" customWidth="1"/>
    <col min="7943" max="7943" width="19.140625" customWidth="1"/>
    <col min="8194" max="8194" width="22.7109375" customWidth="1"/>
    <col min="8195" max="8195" width="14.85546875" customWidth="1"/>
    <col min="8196" max="8196" width="10.7109375" customWidth="1"/>
    <col min="8197" max="8197" width="14.42578125" customWidth="1"/>
    <col min="8198" max="8198" width="22.7109375" customWidth="1"/>
    <col min="8199" max="8199" width="19.140625" customWidth="1"/>
    <col min="8450" max="8450" width="22.7109375" customWidth="1"/>
    <col min="8451" max="8451" width="14.85546875" customWidth="1"/>
    <col min="8452" max="8452" width="10.7109375" customWidth="1"/>
    <col min="8453" max="8453" width="14.42578125" customWidth="1"/>
    <col min="8454" max="8454" width="22.7109375" customWidth="1"/>
    <col min="8455" max="8455" width="19.140625" customWidth="1"/>
    <col min="8706" max="8706" width="22.7109375" customWidth="1"/>
    <col min="8707" max="8707" width="14.85546875" customWidth="1"/>
    <col min="8708" max="8708" width="10.7109375" customWidth="1"/>
    <col min="8709" max="8709" width="14.42578125" customWidth="1"/>
    <col min="8710" max="8710" width="22.7109375" customWidth="1"/>
    <col min="8711" max="8711" width="19.140625" customWidth="1"/>
    <col min="8962" max="8962" width="22.7109375" customWidth="1"/>
    <col min="8963" max="8963" width="14.85546875" customWidth="1"/>
    <col min="8964" max="8964" width="10.7109375" customWidth="1"/>
    <col min="8965" max="8965" width="14.42578125" customWidth="1"/>
    <col min="8966" max="8966" width="22.7109375" customWidth="1"/>
    <col min="8967" max="8967" width="19.140625" customWidth="1"/>
    <col min="9218" max="9218" width="22.7109375" customWidth="1"/>
    <col min="9219" max="9219" width="14.85546875" customWidth="1"/>
    <col min="9220" max="9220" width="10.7109375" customWidth="1"/>
    <col min="9221" max="9221" width="14.42578125" customWidth="1"/>
    <col min="9222" max="9222" width="22.7109375" customWidth="1"/>
    <col min="9223" max="9223" width="19.140625" customWidth="1"/>
    <col min="9474" max="9474" width="22.7109375" customWidth="1"/>
    <col min="9475" max="9475" width="14.85546875" customWidth="1"/>
    <col min="9476" max="9476" width="10.7109375" customWidth="1"/>
    <col min="9477" max="9477" width="14.42578125" customWidth="1"/>
    <col min="9478" max="9478" width="22.7109375" customWidth="1"/>
    <col min="9479" max="9479" width="19.140625" customWidth="1"/>
    <col min="9730" max="9730" width="22.7109375" customWidth="1"/>
    <col min="9731" max="9731" width="14.85546875" customWidth="1"/>
    <col min="9732" max="9732" width="10.7109375" customWidth="1"/>
    <col min="9733" max="9733" width="14.42578125" customWidth="1"/>
    <col min="9734" max="9734" width="22.7109375" customWidth="1"/>
    <col min="9735" max="9735" width="19.140625" customWidth="1"/>
    <col min="9986" max="9986" width="22.7109375" customWidth="1"/>
    <col min="9987" max="9987" width="14.85546875" customWidth="1"/>
    <col min="9988" max="9988" width="10.7109375" customWidth="1"/>
    <col min="9989" max="9989" width="14.42578125" customWidth="1"/>
    <col min="9990" max="9990" width="22.7109375" customWidth="1"/>
    <col min="9991" max="9991" width="19.140625" customWidth="1"/>
    <col min="10242" max="10242" width="22.7109375" customWidth="1"/>
    <col min="10243" max="10243" width="14.85546875" customWidth="1"/>
    <col min="10244" max="10244" width="10.7109375" customWidth="1"/>
    <col min="10245" max="10245" width="14.42578125" customWidth="1"/>
    <col min="10246" max="10246" width="22.7109375" customWidth="1"/>
    <col min="10247" max="10247" width="19.140625" customWidth="1"/>
    <col min="10498" max="10498" width="22.7109375" customWidth="1"/>
    <col min="10499" max="10499" width="14.85546875" customWidth="1"/>
    <col min="10500" max="10500" width="10.7109375" customWidth="1"/>
    <col min="10501" max="10501" width="14.42578125" customWidth="1"/>
    <col min="10502" max="10502" width="22.7109375" customWidth="1"/>
    <col min="10503" max="10503" width="19.140625" customWidth="1"/>
    <col min="10754" max="10754" width="22.7109375" customWidth="1"/>
    <col min="10755" max="10755" width="14.85546875" customWidth="1"/>
    <col min="10756" max="10756" width="10.7109375" customWidth="1"/>
    <col min="10757" max="10757" width="14.42578125" customWidth="1"/>
    <col min="10758" max="10758" width="22.7109375" customWidth="1"/>
    <col min="10759" max="10759" width="19.140625" customWidth="1"/>
    <col min="11010" max="11010" width="22.7109375" customWidth="1"/>
    <col min="11011" max="11011" width="14.85546875" customWidth="1"/>
    <col min="11012" max="11012" width="10.7109375" customWidth="1"/>
    <col min="11013" max="11013" width="14.42578125" customWidth="1"/>
    <col min="11014" max="11014" width="22.7109375" customWidth="1"/>
    <col min="11015" max="11015" width="19.140625" customWidth="1"/>
    <col min="11266" max="11266" width="22.7109375" customWidth="1"/>
    <col min="11267" max="11267" width="14.85546875" customWidth="1"/>
    <col min="11268" max="11268" width="10.7109375" customWidth="1"/>
    <col min="11269" max="11269" width="14.42578125" customWidth="1"/>
    <col min="11270" max="11270" width="22.7109375" customWidth="1"/>
    <col min="11271" max="11271" width="19.140625" customWidth="1"/>
    <col min="11522" max="11522" width="22.7109375" customWidth="1"/>
    <col min="11523" max="11523" width="14.85546875" customWidth="1"/>
    <col min="11524" max="11524" width="10.7109375" customWidth="1"/>
    <col min="11525" max="11525" width="14.42578125" customWidth="1"/>
    <col min="11526" max="11526" width="22.7109375" customWidth="1"/>
    <col min="11527" max="11527" width="19.140625" customWidth="1"/>
    <col min="11778" max="11778" width="22.7109375" customWidth="1"/>
    <col min="11779" max="11779" width="14.85546875" customWidth="1"/>
    <col min="11780" max="11780" width="10.7109375" customWidth="1"/>
    <col min="11781" max="11781" width="14.42578125" customWidth="1"/>
    <col min="11782" max="11782" width="22.7109375" customWidth="1"/>
    <col min="11783" max="11783" width="19.140625" customWidth="1"/>
    <col min="12034" max="12034" width="22.7109375" customWidth="1"/>
    <col min="12035" max="12035" width="14.85546875" customWidth="1"/>
    <col min="12036" max="12036" width="10.7109375" customWidth="1"/>
    <col min="12037" max="12037" width="14.42578125" customWidth="1"/>
    <col min="12038" max="12038" width="22.7109375" customWidth="1"/>
    <col min="12039" max="12039" width="19.140625" customWidth="1"/>
    <col min="12290" max="12290" width="22.7109375" customWidth="1"/>
    <col min="12291" max="12291" width="14.85546875" customWidth="1"/>
    <col min="12292" max="12292" width="10.7109375" customWidth="1"/>
    <col min="12293" max="12293" width="14.42578125" customWidth="1"/>
    <col min="12294" max="12294" width="22.7109375" customWidth="1"/>
    <col min="12295" max="12295" width="19.140625" customWidth="1"/>
    <col min="12546" max="12546" width="22.7109375" customWidth="1"/>
    <col min="12547" max="12547" width="14.85546875" customWidth="1"/>
    <col min="12548" max="12548" width="10.7109375" customWidth="1"/>
    <col min="12549" max="12549" width="14.42578125" customWidth="1"/>
    <col min="12550" max="12550" width="22.7109375" customWidth="1"/>
    <col min="12551" max="12551" width="19.140625" customWidth="1"/>
    <col min="12802" max="12802" width="22.7109375" customWidth="1"/>
    <col min="12803" max="12803" width="14.85546875" customWidth="1"/>
    <col min="12804" max="12804" width="10.7109375" customWidth="1"/>
    <col min="12805" max="12805" width="14.42578125" customWidth="1"/>
    <col min="12806" max="12806" width="22.7109375" customWidth="1"/>
    <col min="12807" max="12807" width="19.140625" customWidth="1"/>
    <col min="13058" max="13058" width="22.7109375" customWidth="1"/>
    <col min="13059" max="13059" width="14.85546875" customWidth="1"/>
    <col min="13060" max="13060" width="10.7109375" customWidth="1"/>
    <col min="13061" max="13061" width="14.42578125" customWidth="1"/>
    <col min="13062" max="13062" width="22.7109375" customWidth="1"/>
    <col min="13063" max="13063" width="19.140625" customWidth="1"/>
    <col min="13314" max="13314" width="22.7109375" customWidth="1"/>
    <col min="13315" max="13315" width="14.85546875" customWidth="1"/>
    <col min="13316" max="13316" width="10.7109375" customWidth="1"/>
    <col min="13317" max="13317" width="14.42578125" customWidth="1"/>
    <col min="13318" max="13318" width="22.7109375" customWidth="1"/>
    <col min="13319" max="13319" width="19.140625" customWidth="1"/>
    <col min="13570" max="13570" width="22.7109375" customWidth="1"/>
    <col min="13571" max="13571" width="14.85546875" customWidth="1"/>
    <col min="13572" max="13572" width="10.7109375" customWidth="1"/>
    <col min="13573" max="13573" width="14.42578125" customWidth="1"/>
    <col min="13574" max="13574" width="22.7109375" customWidth="1"/>
    <col min="13575" max="13575" width="19.140625" customWidth="1"/>
    <col min="13826" max="13826" width="22.7109375" customWidth="1"/>
    <col min="13827" max="13827" width="14.85546875" customWidth="1"/>
    <col min="13828" max="13828" width="10.7109375" customWidth="1"/>
    <col min="13829" max="13829" width="14.42578125" customWidth="1"/>
    <col min="13830" max="13830" width="22.7109375" customWidth="1"/>
    <col min="13831" max="13831" width="19.140625" customWidth="1"/>
    <col min="14082" max="14082" width="22.7109375" customWidth="1"/>
    <col min="14083" max="14083" width="14.85546875" customWidth="1"/>
    <col min="14084" max="14084" width="10.7109375" customWidth="1"/>
    <col min="14085" max="14085" width="14.42578125" customWidth="1"/>
    <col min="14086" max="14086" width="22.7109375" customWidth="1"/>
    <col min="14087" max="14087" width="19.140625" customWidth="1"/>
    <col min="14338" max="14338" width="22.7109375" customWidth="1"/>
    <col min="14339" max="14339" width="14.85546875" customWidth="1"/>
    <col min="14340" max="14340" width="10.7109375" customWidth="1"/>
    <col min="14341" max="14341" width="14.42578125" customWidth="1"/>
    <col min="14342" max="14342" width="22.7109375" customWidth="1"/>
    <col min="14343" max="14343" width="19.140625" customWidth="1"/>
    <col min="14594" max="14594" width="22.7109375" customWidth="1"/>
    <col min="14595" max="14595" width="14.85546875" customWidth="1"/>
    <col min="14596" max="14596" width="10.7109375" customWidth="1"/>
    <col min="14597" max="14597" width="14.42578125" customWidth="1"/>
    <col min="14598" max="14598" width="22.7109375" customWidth="1"/>
    <col min="14599" max="14599" width="19.140625" customWidth="1"/>
    <col min="14850" max="14850" width="22.7109375" customWidth="1"/>
    <col min="14851" max="14851" width="14.85546875" customWidth="1"/>
    <col min="14852" max="14852" width="10.7109375" customWidth="1"/>
    <col min="14853" max="14853" width="14.42578125" customWidth="1"/>
    <col min="14854" max="14854" width="22.7109375" customWidth="1"/>
    <col min="14855" max="14855" width="19.140625" customWidth="1"/>
    <col min="15106" max="15106" width="22.7109375" customWidth="1"/>
    <col min="15107" max="15107" width="14.85546875" customWidth="1"/>
    <col min="15108" max="15108" width="10.7109375" customWidth="1"/>
    <col min="15109" max="15109" width="14.42578125" customWidth="1"/>
    <col min="15110" max="15110" width="22.7109375" customWidth="1"/>
    <col min="15111" max="15111" width="19.140625" customWidth="1"/>
    <col min="15362" max="15362" width="22.7109375" customWidth="1"/>
    <col min="15363" max="15363" width="14.85546875" customWidth="1"/>
    <col min="15364" max="15364" width="10.7109375" customWidth="1"/>
    <col min="15365" max="15365" width="14.42578125" customWidth="1"/>
    <col min="15366" max="15366" width="22.7109375" customWidth="1"/>
    <col min="15367" max="15367" width="19.140625" customWidth="1"/>
    <col min="15618" max="15618" width="22.7109375" customWidth="1"/>
    <col min="15619" max="15619" width="14.85546875" customWidth="1"/>
    <col min="15620" max="15620" width="10.7109375" customWidth="1"/>
    <col min="15621" max="15621" width="14.42578125" customWidth="1"/>
    <col min="15622" max="15622" width="22.7109375" customWidth="1"/>
    <col min="15623" max="15623" width="19.140625" customWidth="1"/>
    <col min="15874" max="15874" width="22.7109375" customWidth="1"/>
    <col min="15875" max="15875" width="14.85546875" customWidth="1"/>
    <col min="15876" max="15876" width="10.7109375" customWidth="1"/>
    <col min="15877" max="15877" width="14.42578125" customWidth="1"/>
    <col min="15878" max="15878" width="22.7109375" customWidth="1"/>
    <col min="15879" max="15879" width="19.140625" customWidth="1"/>
    <col min="16130" max="16130" width="22.7109375" customWidth="1"/>
    <col min="16131" max="16131" width="14.85546875" customWidth="1"/>
    <col min="16132" max="16132" width="10.7109375" customWidth="1"/>
    <col min="16133" max="16133" width="14.42578125" customWidth="1"/>
    <col min="16134" max="16134" width="22.7109375" customWidth="1"/>
    <col min="16135" max="16135" width="19.140625" customWidth="1"/>
  </cols>
  <sheetData>
    <row r="2" spans="2:7" ht="20.25" x14ac:dyDescent="0.3">
      <c r="B2" s="610" t="s">
        <v>193</v>
      </c>
      <c r="C2" s="610"/>
      <c r="D2" s="610"/>
      <c r="E2" s="610"/>
      <c r="F2" s="610"/>
      <c r="G2" s="33"/>
    </row>
    <row r="3" spans="2:7" ht="20.25" x14ac:dyDescent="0.3">
      <c r="B3" s="610" t="s">
        <v>205</v>
      </c>
      <c r="C3" s="610"/>
      <c r="D3" s="610"/>
      <c r="E3" s="610"/>
      <c r="F3" s="610"/>
      <c r="G3" s="33"/>
    </row>
    <row r="4" spans="2:7" ht="20.25" x14ac:dyDescent="0.3">
      <c r="B4" s="610" t="s">
        <v>37</v>
      </c>
      <c r="C4" s="610"/>
      <c r="D4" s="610"/>
      <c r="E4" s="610"/>
      <c r="F4" s="610"/>
      <c r="G4" s="33"/>
    </row>
    <row r="5" spans="2:7" ht="15.75" x14ac:dyDescent="0.25">
      <c r="C5" s="605"/>
      <c r="D5" s="605"/>
      <c r="E5" s="605"/>
    </row>
    <row r="33" spans="2:6" ht="33" customHeight="1" x14ac:dyDescent="0.25">
      <c r="B33" s="408" t="s">
        <v>38</v>
      </c>
      <c r="C33" s="402" t="s">
        <v>39</v>
      </c>
      <c r="D33" s="611" t="s">
        <v>40</v>
      </c>
      <c r="E33" s="612"/>
      <c r="F33" s="280"/>
    </row>
    <row r="34" spans="2:6" ht="16.5" x14ac:dyDescent="0.25">
      <c r="B34" s="607"/>
      <c r="C34" s="608"/>
      <c r="D34" s="608"/>
      <c r="E34" s="609"/>
      <c r="F34" s="280"/>
    </row>
    <row r="35" spans="2:6" ht="19.5" customHeight="1" x14ac:dyDescent="0.25">
      <c r="B35" s="409" t="s">
        <v>22</v>
      </c>
      <c r="C35" s="410">
        <f>'ES CT Gas 2021 Table C '!D46+'ES CT Gas 2021 Table C '!G46</f>
        <v>2362239.1299935039</v>
      </c>
      <c r="D35" s="414"/>
      <c r="E35" s="416">
        <f t="shared" ref="E35:E41" si="0">SUM(C35/$C$43)</f>
        <v>0.10069819060555582</v>
      </c>
      <c r="F35" s="280"/>
    </row>
    <row r="36" spans="2:6" ht="20.25" customHeight="1" x14ac:dyDescent="0.25">
      <c r="B36" s="409" t="s">
        <v>41</v>
      </c>
      <c r="C36" s="410">
        <f>'ES CT Gas 2021 Table C '!E46</f>
        <v>4684</v>
      </c>
      <c r="D36" s="414"/>
      <c r="E36" s="416">
        <f t="shared" si="0"/>
        <v>1.996708626182653E-4</v>
      </c>
      <c r="F36" s="280"/>
    </row>
    <row r="37" spans="2:6" ht="17.25" customHeight="1" x14ac:dyDescent="0.25">
      <c r="B37" s="409" t="s">
        <v>24</v>
      </c>
      <c r="C37" s="410">
        <f>'ES CT Gas 2021 Table C '!F46</f>
        <v>1765690.1017716816</v>
      </c>
      <c r="D37" s="414"/>
      <c r="E37" s="416">
        <f t="shared" si="0"/>
        <v>7.5268331711632011E-2</v>
      </c>
      <c r="F37" s="280"/>
    </row>
    <row r="38" spans="2:6" ht="20.25" customHeight="1" x14ac:dyDescent="0.25">
      <c r="B38" s="409" t="s">
        <v>25</v>
      </c>
      <c r="C38" s="410">
        <f>'ES CT Gas 2021 Table C '!H46</f>
        <v>17348900.288234815</v>
      </c>
      <c r="D38" s="414"/>
      <c r="E38" s="416">
        <f t="shared" si="0"/>
        <v>0.73955377583905146</v>
      </c>
      <c r="F38" s="280"/>
    </row>
    <row r="39" spans="2:6" ht="20.25" customHeight="1" x14ac:dyDescent="0.25">
      <c r="B39" s="409" t="s">
        <v>26</v>
      </c>
      <c r="C39" s="410">
        <f>'ES CT Gas 2021 Table C '!I46</f>
        <v>577158</v>
      </c>
      <c r="D39" s="414"/>
      <c r="E39" s="416">
        <f t="shared" si="0"/>
        <v>2.4603252717129112E-2</v>
      </c>
      <c r="F39" s="280"/>
    </row>
    <row r="40" spans="2:6" ht="17.25" customHeight="1" x14ac:dyDescent="0.25">
      <c r="B40" s="409" t="s">
        <v>107</v>
      </c>
      <c r="C40" s="410">
        <f>'ES CT Gas 2021 Table C '!J46</f>
        <v>1374434</v>
      </c>
      <c r="D40" s="414"/>
      <c r="E40" s="416">
        <f t="shared" si="0"/>
        <v>5.8589757128922469E-2</v>
      </c>
      <c r="F40" s="280"/>
    </row>
    <row r="41" spans="2:6" ht="19.5" customHeight="1" x14ac:dyDescent="0.4">
      <c r="B41" s="409" t="s">
        <v>27</v>
      </c>
      <c r="C41" s="411">
        <f>'ES CT Gas 2021 Table C '!K46</f>
        <v>25500</v>
      </c>
      <c r="D41" s="414"/>
      <c r="E41" s="417">
        <f t="shared" si="0"/>
        <v>1.0870211350908978E-3</v>
      </c>
      <c r="F41" s="280"/>
    </row>
    <row r="42" spans="2:6" ht="16.5" x14ac:dyDescent="0.25">
      <c r="B42" s="607"/>
      <c r="C42" s="608"/>
      <c r="D42" s="608"/>
      <c r="E42" s="609"/>
      <c r="F42" s="280"/>
    </row>
    <row r="43" spans="2:6" ht="16.5" x14ac:dyDescent="0.25">
      <c r="B43" s="412" t="s">
        <v>42</v>
      </c>
      <c r="C43" s="413">
        <f>SUM(C35:C41)</f>
        <v>23458605.52</v>
      </c>
      <c r="D43" s="415"/>
      <c r="E43" s="418">
        <f>SUM(E35:E41)</f>
        <v>1</v>
      </c>
      <c r="F43" s="280"/>
    </row>
    <row r="44" spans="2:6" ht="16.5" x14ac:dyDescent="0.25">
      <c r="B44" s="280"/>
      <c r="C44" s="280"/>
      <c r="D44" s="280"/>
      <c r="E44" s="280"/>
      <c r="F44" s="280"/>
    </row>
    <row r="45" spans="2:6" x14ac:dyDescent="0.2">
      <c r="B45" s="35"/>
    </row>
  </sheetData>
  <mergeCells count="7">
    <mergeCell ref="B42:E42"/>
    <mergeCell ref="B34:E34"/>
    <mergeCell ref="B2:F2"/>
    <mergeCell ref="B3:F3"/>
    <mergeCell ref="B4:F4"/>
    <mergeCell ref="C5:E5"/>
    <mergeCell ref="D33:E33"/>
  </mergeCells>
  <pageMargins left="0.7" right="0.7" top="0.75" bottom="0.75" header="0.3" footer="0.3"/>
  <pageSetup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D2B7FF-018F-4FC3-BC71-6C07B5360F0E}">
  <sheetPr>
    <tabColor rgb="FFFFC000"/>
  </sheetPr>
  <dimension ref="B2:V49"/>
  <sheetViews>
    <sheetView showGridLines="0" zoomScale="85" zoomScaleNormal="85" workbookViewId="0">
      <selection activeCell="C30" sqref="C30:D30"/>
    </sheetView>
  </sheetViews>
  <sheetFormatPr defaultRowHeight="12.75" x14ac:dyDescent="0.2"/>
  <cols>
    <col min="2" max="2" width="36.28515625" bestFit="1" customWidth="1"/>
    <col min="4" max="4" width="15.7109375" bestFit="1" customWidth="1"/>
    <col min="5" max="5" width="13.42578125" customWidth="1"/>
    <col min="6" max="6" width="18.28515625" customWidth="1"/>
  </cols>
  <sheetData>
    <row r="2" spans="2:7" s="395" customFormat="1" ht="23.25" x14ac:dyDescent="0.35">
      <c r="B2" s="545" t="s">
        <v>208</v>
      </c>
      <c r="C2" s="545"/>
      <c r="D2" s="545"/>
      <c r="E2" s="545"/>
      <c r="F2" s="545"/>
      <c r="G2" s="43"/>
    </row>
    <row r="3" spans="2:7" s="395" customFormat="1" ht="23.25" x14ac:dyDescent="0.35">
      <c r="B3" s="545" t="s">
        <v>50</v>
      </c>
      <c r="C3" s="545"/>
      <c r="D3" s="545"/>
      <c r="E3" s="545"/>
      <c r="F3" s="545"/>
    </row>
    <row r="28" spans="2:22" x14ac:dyDescent="0.2">
      <c r="J28" s="34" t="s">
        <v>5</v>
      </c>
    </row>
    <row r="29" spans="2:22" s="395" customFormat="1" ht="72.75" customHeight="1" x14ac:dyDescent="0.2">
      <c r="B29" s="403" t="s">
        <v>51</v>
      </c>
      <c r="C29" s="560" t="s">
        <v>192</v>
      </c>
      <c r="D29" s="560"/>
      <c r="E29" s="429" t="s">
        <v>146</v>
      </c>
      <c r="F29" s="401" t="s">
        <v>221</v>
      </c>
      <c r="G29" s="44"/>
      <c r="H29" s="44"/>
      <c r="I29" s="54"/>
      <c r="J29" s="55"/>
      <c r="P29" s="6"/>
      <c r="Q29" s="6"/>
      <c r="R29" s="8"/>
      <c r="S29" s="8"/>
      <c r="T29" s="56"/>
      <c r="U29" s="57"/>
      <c r="V29" s="8"/>
    </row>
    <row r="30" spans="2:22" s="395" customFormat="1" ht="21.75" customHeight="1" x14ac:dyDescent="0.25">
      <c r="B30" s="385" t="s">
        <v>222</v>
      </c>
      <c r="C30" s="561">
        <f>'ES CT Gas 2021 Table A Pie'!C30+'[9]CNG 2019-21 Table A Pie Charts'!$J$28+'[9]SCG 2019-21 Table A Pie Charts'!$J$28</f>
        <v>13263834.917332049</v>
      </c>
      <c r="D30" s="562"/>
      <c r="E30" s="386">
        <f>SUM(C30/C43)</f>
        <v>0.22774756652850942</v>
      </c>
      <c r="F30" s="387">
        <f>C30/C37</f>
        <v>0.24917641253098757</v>
      </c>
      <c r="G30" s="58"/>
      <c r="H30" s="58"/>
      <c r="I30" s="55"/>
      <c r="J30" s="55"/>
      <c r="P30" s="6"/>
      <c r="Q30" s="6"/>
      <c r="R30" s="8"/>
      <c r="S30" s="8"/>
      <c r="T30" s="56"/>
      <c r="U30" s="57"/>
      <c r="V30" s="8"/>
    </row>
    <row r="31" spans="2:22" s="395" customFormat="1" ht="21" customHeight="1" x14ac:dyDescent="0.25">
      <c r="B31" s="385" t="s">
        <v>223</v>
      </c>
      <c r="C31" s="561">
        <f>C32-C30</f>
        <v>25275337.291667942</v>
      </c>
      <c r="D31" s="562"/>
      <c r="E31" s="386">
        <f>C31/C43</f>
        <v>0.43399187318312377</v>
      </c>
      <c r="F31" s="387">
        <f>C31/C37</f>
        <v>0.47482631615226095</v>
      </c>
      <c r="G31" s="58"/>
      <c r="H31" s="58"/>
      <c r="I31" s="55"/>
      <c r="J31" s="59"/>
      <c r="K31" s="60"/>
      <c r="L31" s="60"/>
      <c r="M31" s="60"/>
      <c r="N31" s="60"/>
      <c r="P31" s="6"/>
      <c r="Q31" s="6"/>
      <c r="R31" s="8"/>
      <c r="S31" s="8"/>
      <c r="T31" s="56"/>
      <c r="U31" s="57"/>
      <c r="V31" s="8"/>
    </row>
    <row r="32" spans="2:22" s="395" customFormat="1" ht="16.5" x14ac:dyDescent="0.25">
      <c r="B32" s="388" t="s">
        <v>54</v>
      </c>
      <c r="C32" s="555">
        <f>'2022 - 2024 Combined Table A1'!K52</f>
        <v>38539172.208999991</v>
      </c>
      <c r="D32" s="555"/>
      <c r="E32" s="389">
        <f>SUM(E30:E31)</f>
        <v>0.66173943971163318</v>
      </c>
      <c r="F32" s="389">
        <f>SUM(F30:F31)</f>
        <v>0.72400272868324855</v>
      </c>
      <c r="G32" s="58"/>
      <c r="H32" s="58"/>
      <c r="I32" s="55"/>
      <c r="J32" s="55"/>
      <c r="P32" s="6"/>
      <c r="Q32" s="6"/>
      <c r="R32" s="8"/>
      <c r="S32" s="8"/>
      <c r="T32" s="56"/>
      <c r="U32" s="57"/>
      <c r="V32" s="8"/>
    </row>
    <row r="33" spans="2:22" s="395" customFormat="1" ht="16.5" x14ac:dyDescent="0.25">
      <c r="B33" s="390"/>
      <c r="C33" s="547"/>
      <c r="D33" s="548"/>
      <c r="E33" s="386"/>
      <c r="F33" s="387"/>
      <c r="G33" s="58"/>
      <c r="H33" s="58"/>
      <c r="I33" s="61"/>
      <c r="J33" s="61"/>
      <c r="P33" s="8"/>
      <c r="Q33" s="8"/>
      <c r="R33" s="8"/>
      <c r="S33" s="8"/>
      <c r="T33" s="8"/>
      <c r="U33" s="8"/>
      <c r="V33" s="8"/>
    </row>
    <row r="34" spans="2:22" s="395" customFormat="1" ht="16.5" x14ac:dyDescent="0.25">
      <c r="B34" s="385" t="s">
        <v>55</v>
      </c>
      <c r="C34" s="563">
        <f>'2022 - 2024 Combined Table A1'!K53</f>
        <v>14691528.010999998</v>
      </c>
      <c r="D34" s="563"/>
      <c r="E34" s="386">
        <f>SUM(C34/C43)</f>
        <v>0.25226186649220628</v>
      </c>
      <c r="F34" s="387">
        <f>SUM(C34/C37)</f>
        <v>0.27599727131675145</v>
      </c>
      <c r="G34" s="58"/>
      <c r="H34" s="58"/>
      <c r="I34" s="61"/>
      <c r="J34" s="61"/>
      <c r="P34" s="8"/>
      <c r="Q34" s="8"/>
      <c r="R34" s="8"/>
      <c r="S34" s="8"/>
      <c r="T34" s="8"/>
      <c r="U34" s="8"/>
      <c r="V34" s="8"/>
    </row>
    <row r="35" spans="2:22" s="395" customFormat="1" ht="16.5" x14ac:dyDescent="0.25">
      <c r="B35" s="388" t="s">
        <v>56</v>
      </c>
      <c r="C35" s="555">
        <f>SUM(C34)</f>
        <v>14691528.010999998</v>
      </c>
      <c r="D35" s="555"/>
      <c r="E35" s="389">
        <f>SUM(E33:E34)</f>
        <v>0.25226186649220628</v>
      </c>
      <c r="F35" s="389">
        <f>SUM(F33:F34)</f>
        <v>0.27599727131675145</v>
      </c>
      <c r="G35" s="58"/>
      <c r="H35" s="58"/>
      <c r="I35" s="55"/>
      <c r="J35" s="62"/>
      <c r="P35" s="8"/>
      <c r="Q35" s="8"/>
      <c r="R35" s="8"/>
      <c r="S35" s="8"/>
      <c r="T35" s="8"/>
      <c r="U35" s="8"/>
      <c r="V35" s="8"/>
    </row>
    <row r="36" spans="2:22" s="395" customFormat="1" ht="16.5" x14ac:dyDescent="0.25">
      <c r="B36" s="391"/>
      <c r="C36" s="564"/>
      <c r="D36" s="565"/>
      <c r="E36" s="392"/>
      <c r="F36" s="392"/>
      <c r="G36" s="63"/>
      <c r="H36" s="63"/>
      <c r="I36" s="55"/>
      <c r="J36" s="62"/>
    </row>
    <row r="37" spans="2:22" s="395" customFormat="1" ht="16.5" x14ac:dyDescent="0.25">
      <c r="B37" s="388" t="s">
        <v>57</v>
      </c>
      <c r="C37" s="555">
        <f>SUM(C32+C35)</f>
        <v>53230700.219999991</v>
      </c>
      <c r="D37" s="555"/>
      <c r="E37" s="389">
        <f>SUM(E32+E35)</f>
        <v>0.91400130620383946</v>
      </c>
      <c r="F37" s="389">
        <f>SUM(F32+F35)</f>
        <v>1</v>
      </c>
      <c r="G37" s="58"/>
      <c r="H37" s="64"/>
      <c r="I37" s="55"/>
      <c r="J37" s="62"/>
    </row>
    <row r="38" spans="2:22" s="395" customFormat="1" ht="16.5" x14ac:dyDescent="0.25">
      <c r="B38" s="390"/>
      <c r="C38" s="547"/>
      <c r="D38" s="548"/>
      <c r="E38" s="387"/>
      <c r="F38" s="393"/>
      <c r="G38" s="65"/>
      <c r="H38" s="65"/>
      <c r="I38" s="55"/>
      <c r="J38" s="66"/>
    </row>
    <row r="39" spans="2:22" s="397" customFormat="1" ht="15" customHeight="1" x14ac:dyDescent="0.25">
      <c r="B39" s="549" t="s">
        <v>58</v>
      </c>
      <c r="C39" s="550"/>
      <c r="D39" s="550"/>
      <c r="E39" s="550"/>
      <c r="F39" s="551"/>
      <c r="G39" s="67"/>
      <c r="H39" s="69"/>
      <c r="I39" s="68"/>
      <c r="J39" s="68"/>
    </row>
    <row r="40" spans="2:22" s="397" customFormat="1" ht="26.25" customHeight="1" x14ac:dyDescent="0.25">
      <c r="B40" s="385" t="s">
        <v>58</v>
      </c>
      <c r="C40" s="554">
        <f>'2022 - 2024 Combined Table A1'!K54</f>
        <v>5008494.6899999995</v>
      </c>
      <c r="D40" s="554"/>
      <c r="E40" s="386">
        <f>C40/C43</f>
        <v>8.5998693796160527E-2</v>
      </c>
      <c r="F40" s="391"/>
      <c r="G40" s="67"/>
      <c r="H40" s="69"/>
      <c r="I40" s="68"/>
      <c r="J40" s="68"/>
    </row>
    <row r="41" spans="2:22" s="397" customFormat="1" ht="19.5" customHeight="1" x14ac:dyDescent="0.25">
      <c r="B41" s="388" t="s">
        <v>59</v>
      </c>
      <c r="C41" s="555">
        <f>SUM(C40)</f>
        <v>5008494.6899999995</v>
      </c>
      <c r="D41" s="555"/>
      <c r="E41" s="389">
        <f>SUM(E40)</f>
        <v>8.5998693796160527E-2</v>
      </c>
      <c r="F41" s="394"/>
      <c r="G41" s="67"/>
      <c r="H41" s="70"/>
      <c r="I41" s="68"/>
      <c r="J41" s="68"/>
    </row>
    <row r="42" spans="2:22" s="397" customFormat="1" ht="16.5" x14ac:dyDescent="0.25">
      <c r="B42" s="556"/>
      <c r="C42" s="557"/>
      <c r="D42" s="557"/>
      <c r="E42" s="557"/>
      <c r="F42" s="558"/>
      <c r="G42" s="71"/>
      <c r="H42" s="72"/>
      <c r="I42" s="68"/>
      <c r="J42" s="68"/>
    </row>
    <row r="43" spans="2:22" s="397" customFormat="1" ht="16.5" x14ac:dyDescent="0.25">
      <c r="B43" s="394" t="s">
        <v>28</v>
      </c>
      <c r="C43" s="559">
        <f>C41+C37</f>
        <v>58239194.909999989</v>
      </c>
      <c r="D43" s="559"/>
      <c r="E43" s="389">
        <f>E37+E41</f>
        <v>1</v>
      </c>
      <c r="F43" s="407"/>
      <c r="G43" s="68"/>
      <c r="H43" s="68"/>
      <c r="I43" s="68"/>
      <c r="J43" s="68"/>
    </row>
    <row r="44" spans="2:22" s="397" customFormat="1" ht="21" customHeight="1" x14ac:dyDescent="0.25">
      <c r="B44" s="404" t="s">
        <v>141</v>
      </c>
      <c r="C44" s="552">
        <f>'2022 - 2024 Combined Table A1'!H55</f>
        <v>23467632.219999999</v>
      </c>
      <c r="D44" s="553"/>
      <c r="E44" s="406">
        <f>C44/C43</f>
        <v>0.40295255207881447</v>
      </c>
      <c r="F44" s="407"/>
      <c r="G44" s="153"/>
    </row>
    <row r="45" spans="2:22" s="398" customFormat="1" ht="21.75" customHeight="1" x14ac:dyDescent="0.25">
      <c r="B45" s="404" t="s">
        <v>45</v>
      </c>
      <c r="C45" s="552">
        <f>'2022 - 2024 Combined Table A1'!I55</f>
        <v>17873099.890000001</v>
      </c>
      <c r="D45" s="553"/>
      <c r="E45" s="406">
        <f>C45/C43</f>
        <v>0.30689125970268333</v>
      </c>
      <c r="F45" s="407"/>
      <c r="G45" s="199"/>
    </row>
    <row r="46" spans="2:22" s="398" customFormat="1" ht="19.5" customHeight="1" x14ac:dyDescent="0.25">
      <c r="B46" s="404" t="s">
        <v>46</v>
      </c>
      <c r="C46" s="552">
        <f>'2022 - 2024 Combined Table A1'!J55</f>
        <v>16898462.800000001</v>
      </c>
      <c r="D46" s="553"/>
      <c r="E46" s="406">
        <f>C46/C43</f>
        <v>0.29015618821850236</v>
      </c>
      <c r="F46" s="404"/>
      <c r="G46" s="199"/>
    </row>
    <row r="48" spans="2:22" s="80" customFormat="1" ht="16.5" x14ac:dyDescent="0.25">
      <c r="B48" s="280" t="s">
        <v>256</v>
      </c>
      <c r="C48" s="430"/>
      <c r="D48" s="431"/>
      <c r="E48" s="400"/>
      <c r="F48" s="400"/>
      <c r="G48" s="432"/>
      <c r="H48" s="433"/>
    </row>
    <row r="49" spans="2:8" s="80" customFormat="1" ht="16.5" x14ac:dyDescent="0.25">
      <c r="B49" s="434" t="s">
        <v>257</v>
      </c>
      <c r="C49" s="430"/>
      <c r="D49" s="431"/>
      <c r="E49" s="433"/>
      <c r="F49" s="433"/>
      <c r="G49" s="433"/>
      <c r="H49" s="433"/>
    </row>
  </sheetData>
  <mergeCells count="20">
    <mergeCell ref="C34:D34"/>
    <mergeCell ref="C35:D35"/>
    <mergeCell ref="C36:D36"/>
    <mergeCell ref="C37:D37"/>
    <mergeCell ref="C33:D33"/>
    <mergeCell ref="B2:F2"/>
    <mergeCell ref="C29:D29"/>
    <mergeCell ref="C30:D30"/>
    <mergeCell ref="C31:D31"/>
    <mergeCell ref="C32:D32"/>
    <mergeCell ref="B3:F3"/>
    <mergeCell ref="C38:D38"/>
    <mergeCell ref="B39:F39"/>
    <mergeCell ref="C44:D44"/>
    <mergeCell ref="C45:D45"/>
    <mergeCell ref="C46:D46"/>
    <mergeCell ref="C40:D40"/>
    <mergeCell ref="C41:D41"/>
    <mergeCell ref="B42:F42"/>
    <mergeCell ref="C43:D43"/>
  </mergeCells>
  <pageMargins left="0.7" right="0.7" top="0.75" bottom="0.75" header="0.3" footer="0.3"/>
  <pageSetup orientation="portrait"/>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7D9F3C-F4F5-47D2-9540-B5339956AF92}">
  <sheetPr>
    <tabColor rgb="FFFFC000"/>
    <pageSetUpPr fitToPage="1"/>
  </sheetPr>
  <dimension ref="A2:R58"/>
  <sheetViews>
    <sheetView showGridLines="0" topLeftCell="C1" zoomScale="70" zoomScaleNormal="70" workbookViewId="0">
      <pane ySplit="6" topLeftCell="A25" activePane="bottomLeft" state="frozen"/>
      <selection activeCell="B1" sqref="B1"/>
      <selection pane="bottomLeft" activeCell="D34" sqref="D34"/>
    </sheetView>
  </sheetViews>
  <sheetFormatPr defaultRowHeight="15.75" x14ac:dyDescent="0.25"/>
  <cols>
    <col min="1" max="1" width="7.140625" style="17" hidden="1" customWidth="1"/>
    <col min="2" max="2" width="7.140625" style="17" customWidth="1"/>
    <col min="3" max="3" width="61.28515625" style="17" customWidth="1"/>
    <col min="4" max="4" width="19.85546875" style="28" customWidth="1"/>
    <col min="5" max="5" width="18" style="30" customWidth="1"/>
    <col min="6" max="6" width="20.85546875" style="28" bestFit="1" customWidth="1"/>
    <col min="7" max="7" width="18" style="30" customWidth="1"/>
    <col min="8" max="8" width="20.7109375" style="17" customWidth="1"/>
    <col min="9" max="9" width="16.5703125" style="17" customWidth="1"/>
    <col min="10" max="11" width="20.42578125" style="17" customWidth="1"/>
    <col min="12" max="12" width="21.140625" style="17" customWidth="1"/>
    <col min="13" max="13" width="17.7109375" style="17" customWidth="1"/>
    <col min="14" max="14" width="12.42578125" style="17" customWidth="1"/>
    <col min="15" max="15" width="9.140625" style="17" customWidth="1"/>
    <col min="16" max="16" width="10" style="17" hidden="1" customWidth="1"/>
    <col min="17" max="17" width="13.140625" style="17" hidden="1" customWidth="1"/>
    <col min="18" max="19" width="8.85546875" style="17" customWidth="1"/>
    <col min="20" max="239" width="9.140625" style="17"/>
    <col min="240" max="240" width="7.140625" style="17" customWidth="1"/>
    <col min="241" max="241" width="54.5703125" style="17" customWidth="1"/>
    <col min="242" max="242" width="19.85546875" style="17" customWidth="1"/>
    <col min="243" max="243" width="18" style="17" customWidth="1"/>
    <col min="244" max="244" width="20.85546875" style="17" bestFit="1" customWidth="1"/>
    <col min="245" max="245" width="17.42578125" style="17" customWidth="1"/>
    <col min="246" max="246" width="16.5703125" style="17" customWidth="1"/>
    <col min="247" max="247" width="20.42578125" style="17" customWidth="1"/>
    <col min="248" max="248" width="21.140625" style="17" customWidth="1"/>
    <col min="249" max="258" width="0" style="17" hidden="1" customWidth="1"/>
    <col min="259" max="259" width="19" style="17" customWidth="1"/>
    <col min="260" max="260" width="12" style="17" customWidth="1"/>
    <col min="261" max="263" width="9.140625" style="17"/>
    <col min="264" max="264" width="10.28515625" style="17" customWidth="1"/>
    <col min="265" max="495" width="9.140625" style="17"/>
    <col min="496" max="496" width="7.140625" style="17" customWidth="1"/>
    <col min="497" max="497" width="54.5703125" style="17" customWidth="1"/>
    <col min="498" max="498" width="19.85546875" style="17" customWidth="1"/>
    <col min="499" max="499" width="18" style="17" customWidth="1"/>
    <col min="500" max="500" width="20.85546875" style="17" bestFit="1" customWidth="1"/>
    <col min="501" max="501" width="17.42578125" style="17" customWidth="1"/>
    <col min="502" max="502" width="16.5703125" style="17" customWidth="1"/>
    <col min="503" max="503" width="20.42578125" style="17" customWidth="1"/>
    <col min="504" max="504" width="21.140625" style="17" customWidth="1"/>
    <col min="505" max="514" width="0" style="17" hidden="1" customWidth="1"/>
    <col min="515" max="515" width="19" style="17" customWidth="1"/>
    <col min="516" max="516" width="12" style="17" customWidth="1"/>
    <col min="517" max="519" width="9.140625" style="17"/>
    <col min="520" max="520" width="10.28515625" style="17" customWidth="1"/>
    <col min="521" max="751" width="9.140625" style="17"/>
    <col min="752" max="752" width="7.140625" style="17" customWidth="1"/>
    <col min="753" max="753" width="54.5703125" style="17" customWidth="1"/>
    <col min="754" max="754" width="19.85546875" style="17" customWidth="1"/>
    <col min="755" max="755" width="18" style="17" customWidth="1"/>
    <col min="756" max="756" width="20.85546875" style="17" bestFit="1" customWidth="1"/>
    <col min="757" max="757" width="17.42578125" style="17" customWidth="1"/>
    <col min="758" max="758" width="16.5703125" style="17" customWidth="1"/>
    <col min="759" max="759" width="20.42578125" style="17" customWidth="1"/>
    <col min="760" max="760" width="21.140625" style="17" customWidth="1"/>
    <col min="761" max="770" width="0" style="17" hidden="1" customWidth="1"/>
    <col min="771" max="771" width="19" style="17" customWidth="1"/>
    <col min="772" max="772" width="12" style="17" customWidth="1"/>
    <col min="773" max="775" width="9.140625" style="17"/>
    <col min="776" max="776" width="10.28515625" style="17" customWidth="1"/>
    <col min="777" max="1007" width="9.140625" style="17"/>
    <col min="1008" max="1008" width="7.140625" style="17" customWidth="1"/>
    <col min="1009" max="1009" width="54.5703125" style="17" customWidth="1"/>
    <col min="1010" max="1010" width="19.85546875" style="17" customWidth="1"/>
    <col min="1011" max="1011" width="18" style="17" customWidth="1"/>
    <col min="1012" max="1012" width="20.85546875" style="17" bestFit="1" customWidth="1"/>
    <col min="1013" max="1013" width="17.42578125" style="17" customWidth="1"/>
    <col min="1014" max="1014" width="16.5703125" style="17" customWidth="1"/>
    <col min="1015" max="1015" width="20.42578125" style="17" customWidth="1"/>
    <col min="1016" max="1016" width="21.140625" style="17" customWidth="1"/>
    <col min="1017" max="1026" width="0" style="17" hidden="1" customWidth="1"/>
    <col min="1027" max="1027" width="19" style="17" customWidth="1"/>
    <col min="1028" max="1028" width="12" style="17" customWidth="1"/>
    <col min="1029" max="1031" width="9.140625" style="17"/>
    <col min="1032" max="1032" width="10.28515625" style="17" customWidth="1"/>
    <col min="1033" max="1263" width="9.140625" style="17"/>
    <col min="1264" max="1264" width="7.140625" style="17" customWidth="1"/>
    <col min="1265" max="1265" width="54.5703125" style="17" customWidth="1"/>
    <col min="1266" max="1266" width="19.85546875" style="17" customWidth="1"/>
    <col min="1267" max="1267" width="18" style="17" customWidth="1"/>
    <col min="1268" max="1268" width="20.85546875" style="17" bestFit="1" customWidth="1"/>
    <col min="1269" max="1269" width="17.42578125" style="17" customWidth="1"/>
    <col min="1270" max="1270" width="16.5703125" style="17" customWidth="1"/>
    <col min="1271" max="1271" width="20.42578125" style="17" customWidth="1"/>
    <col min="1272" max="1272" width="21.140625" style="17" customWidth="1"/>
    <col min="1273" max="1282" width="0" style="17" hidden="1" customWidth="1"/>
    <col min="1283" max="1283" width="19" style="17" customWidth="1"/>
    <col min="1284" max="1284" width="12" style="17" customWidth="1"/>
    <col min="1285" max="1287" width="9.140625" style="17"/>
    <col min="1288" max="1288" width="10.28515625" style="17" customWidth="1"/>
    <col min="1289" max="1519" width="9.140625" style="17"/>
    <col min="1520" max="1520" width="7.140625" style="17" customWidth="1"/>
    <col min="1521" max="1521" width="54.5703125" style="17" customWidth="1"/>
    <col min="1522" max="1522" width="19.85546875" style="17" customWidth="1"/>
    <col min="1523" max="1523" width="18" style="17" customWidth="1"/>
    <col min="1524" max="1524" width="20.85546875" style="17" bestFit="1" customWidth="1"/>
    <col min="1525" max="1525" width="17.42578125" style="17" customWidth="1"/>
    <col min="1526" max="1526" width="16.5703125" style="17" customWidth="1"/>
    <col min="1527" max="1527" width="20.42578125" style="17" customWidth="1"/>
    <col min="1528" max="1528" width="21.140625" style="17" customWidth="1"/>
    <col min="1529" max="1538" width="0" style="17" hidden="1" customWidth="1"/>
    <col min="1539" max="1539" width="19" style="17" customWidth="1"/>
    <col min="1540" max="1540" width="12" style="17" customWidth="1"/>
    <col min="1541" max="1543" width="9.140625" style="17"/>
    <col min="1544" max="1544" width="10.28515625" style="17" customWidth="1"/>
    <col min="1545" max="1775" width="9.140625" style="17"/>
    <col min="1776" max="1776" width="7.140625" style="17" customWidth="1"/>
    <col min="1777" max="1777" width="54.5703125" style="17" customWidth="1"/>
    <col min="1778" max="1778" width="19.85546875" style="17" customWidth="1"/>
    <col min="1779" max="1779" width="18" style="17" customWidth="1"/>
    <col min="1780" max="1780" width="20.85546875" style="17" bestFit="1" customWidth="1"/>
    <col min="1781" max="1781" width="17.42578125" style="17" customWidth="1"/>
    <col min="1782" max="1782" width="16.5703125" style="17" customWidth="1"/>
    <col min="1783" max="1783" width="20.42578125" style="17" customWidth="1"/>
    <col min="1784" max="1784" width="21.140625" style="17" customWidth="1"/>
    <col min="1785" max="1794" width="0" style="17" hidden="1" customWidth="1"/>
    <col min="1795" max="1795" width="19" style="17" customWidth="1"/>
    <col min="1796" max="1796" width="12" style="17" customWidth="1"/>
    <col min="1797" max="1799" width="9.140625" style="17"/>
    <col min="1800" max="1800" width="10.28515625" style="17" customWidth="1"/>
    <col min="1801" max="2031" width="9.140625" style="17"/>
    <col min="2032" max="2032" width="7.140625" style="17" customWidth="1"/>
    <col min="2033" max="2033" width="54.5703125" style="17" customWidth="1"/>
    <col min="2034" max="2034" width="19.85546875" style="17" customWidth="1"/>
    <col min="2035" max="2035" width="18" style="17" customWidth="1"/>
    <col min="2036" max="2036" width="20.85546875" style="17" bestFit="1" customWidth="1"/>
    <col min="2037" max="2037" width="17.42578125" style="17" customWidth="1"/>
    <col min="2038" max="2038" width="16.5703125" style="17" customWidth="1"/>
    <col min="2039" max="2039" width="20.42578125" style="17" customWidth="1"/>
    <col min="2040" max="2040" width="21.140625" style="17" customWidth="1"/>
    <col min="2041" max="2050" width="0" style="17" hidden="1" customWidth="1"/>
    <col min="2051" max="2051" width="19" style="17" customWidth="1"/>
    <col min="2052" max="2052" width="12" style="17" customWidth="1"/>
    <col min="2053" max="2055" width="9.140625" style="17"/>
    <col min="2056" max="2056" width="10.28515625" style="17" customWidth="1"/>
    <col min="2057" max="2287" width="9.140625" style="17"/>
    <col min="2288" max="2288" width="7.140625" style="17" customWidth="1"/>
    <col min="2289" max="2289" width="54.5703125" style="17" customWidth="1"/>
    <col min="2290" max="2290" width="19.85546875" style="17" customWidth="1"/>
    <col min="2291" max="2291" width="18" style="17" customWidth="1"/>
    <col min="2292" max="2292" width="20.85546875" style="17" bestFit="1" customWidth="1"/>
    <col min="2293" max="2293" width="17.42578125" style="17" customWidth="1"/>
    <col min="2294" max="2294" width="16.5703125" style="17" customWidth="1"/>
    <col min="2295" max="2295" width="20.42578125" style="17" customWidth="1"/>
    <col min="2296" max="2296" width="21.140625" style="17" customWidth="1"/>
    <col min="2297" max="2306" width="0" style="17" hidden="1" customWidth="1"/>
    <col min="2307" max="2307" width="19" style="17" customWidth="1"/>
    <col min="2308" max="2308" width="12" style="17" customWidth="1"/>
    <col min="2309" max="2311" width="9.140625" style="17"/>
    <col min="2312" max="2312" width="10.28515625" style="17" customWidth="1"/>
    <col min="2313" max="2543" width="9.140625" style="17"/>
    <col min="2544" max="2544" width="7.140625" style="17" customWidth="1"/>
    <col min="2545" max="2545" width="54.5703125" style="17" customWidth="1"/>
    <col min="2546" max="2546" width="19.85546875" style="17" customWidth="1"/>
    <col min="2547" max="2547" width="18" style="17" customWidth="1"/>
    <col min="2548" max="2548" width="20.85546875" style="17" bestFit="1" customWidth="1"/>
    <col min="2549" max="2549" width="17.42578125" style="17" customWidth="1"/>
    <col min="2550" max="2550" width="16.5703125" style="17" customWidth="1"/>
    <col min="2551" max="2551" width="20.42578125" style="17" customWidth="1"/>
    <col min="2552" max="2552" width="21.140625" style="17" customWidth="1"/>
    <col min="2553" max="2562" width="0" style="17" hidden="1" customWidth="1"/>
    <col min="2563" max="2563" width="19" style="17" customWidth="1"/>
    <col min="2564" max="2564" width="12" style="17" customWidth="1"/>
    <col min="2565" max="2567" width="9.140625" style="17"/>
    <col min="2568" max="2568" width="10.28515625" style="17" customWidth="1"/>
    <col min="2569" max="2799" width="9.140625" style="17"/>
    <col min="2800" max="2800" width="7.140625" style="17" customWidth="1"/>
    <col min="2801" max="2801" width="54.5703125" style="17" customWidth="1"/>
    <col min="2802" max="2802" width="19.85546875" style="17" customWidth="1"/>
    <col min="2803" max="2803" width="18" style="17" customWidth="1"/>
    <col min="2804" max="2804" width="20.85546875" style="17" bestFit="1" customWidth="1"/>
    <col min="2805" max="2805" width="17.42578125" style="17" customWidth="1"/>
    <col min="2806" max="2806" width="16.5703125" style="17" customWidth="1"/>
    <col min="2807" max="2807" width="20.42578125" style="17" customWidth="1"/>
    <col min="2808" max="2808" width="21.140625" style="17" customWidth="1"/>
    <col min="2809" max="2818" width="0" style="17" hidden="1" customWidth="1"/>
    <col min="2819" max="2819" width="19" style="17" customWidth="1"/>
    <col min="2820" max="2820" width="12" style="17" customWidth="1"/>
    <col min="2821" max="2823" width="9.140625" style="17"/>
    <col min="2824" max="2824" width="10.28515625" style="17" customWidth="1"/>
    <col min="2825" max="3055" width="9.140625" style="17"/>
    <col min="3056" max="3056" width="7.140625" style="17" customWidth="1"/>
    <col min="3057" max="3057" width="54.5703125" style="17" customWidth="1"/>
    <col min="3058" max="3058" width="19.85546875" style="17" customWidth="1"/>
    <col min="3059" max="3059" width="18" style="17" customWidth="1"/>
    <col min="3060" max="3060" width="20.85546875" style="17" bestFit="1" customWidth="1"/>
    <col min="3061" max="3061" width="17.42578125" style="17" customWidth="1"/>
    <col min="3062" max="3062" width="16.5703125" style="17" customWidth="1"/>
    <col min="3063" max="3063" width="20.42578125" style="17" customWidth="1"/>
    <col min="3064" max="3064" width="21.140625" style="17" customWidth="1"/>
    <col min="3065" max="3074" width="0" style="17" hidden="1" customWidth="1"/>
    <col min="3075" max="3075" width="19" style="17" customWidth="1"/>
    <col min="3076" max="3076" width="12" style="17" customWidth="1"/>
    <col min="3077" max="3079" width="9.140625" style="17"/>
    <col min="3080" max="3080" width="10.28515625" style="17" customWidth="1"/>
    <col min="3081" max="3311" width="9.140625" style="17"/>
    <col min="3312" max="3312" width="7.140625" style="17" customWidth="1"/>
    <col min="3313" max="3313" width="54.5703125" style="17" customWidth="1"/>
    <col min="3314" max="3314" width="19.85546875" style="17" customWidth="1"/>
    <col min="3315" max="3315" width="18" style="17" customWidth="1"/>
    <col min="3316" max="3316" width="20.85546875" style="17" bestFit="1" customWidth="1"/>
    <col min="3317" max="3317" width="17.42578125" style="17" customWidth="1"/>
    <col min="3318" max="3318" width="16.5703125" style="17" customWidth="1"/>
    <col min="3319" max="3319" width="20.42578125" style="17" customWidth="1"/>
    <col min="3320" max="3320" width="21.140625" style="17" customWidth="1"/>
    <col min="3321" max="3330" width="0" style="17" hidden="1" customWidth="1"/>
    <col min="3331" max="3331" width="19" style="17" customWidth="1"/>
    <col min="3332" max="3332" width="12" style="17" customWidth="1"/>
    <col min="3333" max="3335" width="9.140625" style="17"/>
    <col min="3336" max="3336" width="10.28515625" style="17" customWidth="1"/>
    <col min="3337" max="3567" width="9.140625" style="17"/>
    <col min="3568" max="3568" width="7.140625" style="17" customWidth="1"/>
    <col min="3569" max="3569" width="54.5703125" style="17" customWidth="1"/>
    <col min="3570" max="3570" width="19.85546875" style="17" customWidth="1"/>
    <col min="3571" max="3571" width="18" style="17" customWidth="1"/>
    <col min="3572" max="3572" width="20.85546875" style="17" bestFit="1" customWidth="1"/>
    <col min="3573" max="3573" width="17.42578125" style="17" customWidth="1"/>
    <col min="3574" max="3574" width="16.5703125" style="17" customWidth="1"/>
    <col min="3575" max="3575" width="20.42578125" style="17" customWidth="1"/>
    <col min="3576" max="3576" width="21.140625" style="17" customWidth="1"/>
    <col min="3577" max="3586" width="0" style="17" hidden="1" customWidth="1"/>
    <col min="3587" max="3587" width="19" style="17" customWidth="1"/>
    <col min="3588" max="3588" width="12" style="17" customWidth="1"/>
    <col min="3589" max="3591" width="9.140625" style="17"/>
    <col min="3592" max="3592" width="10.28515625" style="17" customWidth="1"/>
    <col min="3593" max="3823" width="9.140625" style="17"/>
    <col min="3824" max="3824" width="7.140625" style="17" customWidth="1"/>
    <col min="3825" max="3825" width="54.5703125" style="17" customWidth="1"/>
    <col min="3826" max="3826" width="19.85546875" style="17" customWidth="1"/>
    <col min="3827" max="3827" width="18" style="17" customWidth="1"/>
    <col min="3828" max="3828" width="20.85546875" style="17" bestFit="1" customWidth="1"/>
    <col min="3829" max="3829" width="17.42578125" style="17" customWidth="1"/>
    <col min="3830" max="3830" width="16.5703125" style="17" customWidth="1"/>
    <col min="3831" max="3831" width="20.42578125" style="17" customWidth="1"/>
    <col min="3832" max="3832" width="21.140625" style="17" customWidth="1"/>
    <col min="3833" max="3842" width="0" style="17" hidden="1" customWidth="1"/>
    <col min="3843" max="3843" width="19" style="17" customWidth="1"/>
    <col min="3844" max="3844" width="12" style="17" customWidth="1"/>
    <col min="3845" max="3847" width="9.140625" style="17"/>
    <col min="3848" max="3848" width="10.28515625" style="17" customWidth="1"/>
    <col min="3849" max="4079" width="9.140625" style="17"/>
    <col min="4080" max="4080" width="7.140625" style="17" customWidth="1"/>
    <col min="4081" max="4081" width="54.5703125" style="17" customWidth="1"/>
    <col min="4082" max="4082" width="19.85546875" style="17" customWidth="1"/>
    <col min="4083" max="4083" width="18" style="17" customWidth="1"/>
    <col min="4084" max="4084" width="20.85546875" style="17" bestFit="1" customWidth="1"/>
    <col min="4085" max="4085" width="17.42578125" style="17" customWidth="1"/>
    <col min="4086" max="4086" width="16.5703125" style="17" customWidth="1"/>
    <col min="4087" max="4087" width="20.42578125" style="17" customWidth="1"/>
    <col min="4088" max="4088" width="21.140625" style="17" customWidth="1"/>
    <col min="4089" max="4098" width="0" style="17" hidden="1" customWidth="1"/>
    <col min="4099" max="4099" width="19" style="17" customWidth="1"/>
    <col min="4100" max="4100" width="12" style="17" customWidth="1"/>
    <col min="4101" max="4103" width="9.140625" style="17"/>
    <col min="4104" max="4104" width="10.28515625" style="17" customWidth="1"/>
    <col min="4105" max="4335" width="9.140625" style="17"/>
    <col min="4336" max="4336" width="7.140625" style="17" customWidth="1"/>
    <col min="4337" max="4337" width="54.5703125" style="17" customWidth="1"/>
    <col min="4338" max="4338" width="19.85546875" style="17" customWidth="1"/>
    <col min="4339" max="4339" width="18" style="17" customWidth="1"/>
    <col min="4340" max="4340" width="20.85546875" style="17" bestFit="1" customWidth="1"/>
    <col min="4341" max="4341" width="17.42578125" style="17" customWidth="1"/>
    <col min="4342" max="4342" width="16.5703125" style="17" customWidth="1"/>
    <col min="4343" max="4343" width="20.42578125" style="17" customWidth="1"/>
    <col min="4344" max="4344" width="21.140625" style="17" customWidth="1"/>
    <col min="4345" max="4354" width="0" style="17" hidden="1" customWidth="1"/>
    <col min="4355" max="4355" width="19" style="17" customWidth="1"/>
    <col min="4356" max="4356" width="12" style="17" customWidth="1"/>
    <col min="4357" max="4359" width="9.140625" style="17"/>
    <col min="4360" max="4360" width="10.28515625" style="17" customWidth="1"/>
    <col min="4361" max="4591" width="9.140625" style="17"/>
    <col min="4592" max="4592" width="7.140625" style="17" customWidth="1"/>
    <col min="4593" max="4593" width="54.5703125" style="17" customWidth="1"/>
    <col min="4594" max="4594" width="19.85546875" style="17" customWidth="1"/>
    <col min="4595" max="4595" width="18" style="17" customWidth="1"/>
    <col min="4596" max="4596" width="20.85546875" style="17" bestFit="1" customWidth="1"/>
    <col min="4597" max="4597" width="17.42578125" style="17" customWidth="1"/>
    <col min="4598" max="4598" width="16.5703125" style="17" customWidth="1"/>
    <col min="4599" max="4599" width="20.42578125" style="17" customWidth="1"/>
    <col min="4600" max="4600" width="21.140625" style="17" customWidth="1"/>
    <col min="4601" max="4610" width="0" style="17" hidden="1" customWidth="1"/>
    <col min="4611" max="4611" width="19" style="17" customWidth="1"/>
    <col min="4612" max="4612" width="12" style="17" customWidth="1"/>
    <col min="4613" max="4615" width="9.140625" style="17"/>
    <col min="4616" max="4616" width="10.28515625" style="17" customWidth="1"/>
    <col min="4617" max="4847" width="9.140625" style="17"/>
    <col min="4848" max="4848" width="7.140625" style="17" customWidth="1"/>
    <col min="4849" max="4849" width="54.5703125" style="17" customWidth="1"/>
    <col min="4850" max="4850" width="19.85546875" style="17" customWidth="1"/>
    <col min="4851" max="4851" width="18" style="17" customWidth="1"/>
    <col min="4852" max="4852" width="20.85546875" style="17" bestFit="1" customWidth="1"/>
    <col min="4853" max="4853" width="17.42578125" style="17" customWidth="1"/>
    <col min="4854" max="4854" width="16.5703125" style="17" customWidth="1"/>
    <col min="4855" max="4855" width="20.42578125" style="17" customWidth="1"/>
    <col min="4856" max="4856" width="21.140625" style="17" customWidth="1"/>
    <col min="4857" max="4866" width="0" style="17" hidden="1" customWidth="1"/>
    <col min="4867" max="4867" width="19" style="17" customWidth="1"/>
    <col min="4868" max="4868" width="12" style="17" customWidth="1"/>
    <col min="4869" max="4871" width="9.140625" style="17"/>
    <col min="4872" max="4872" width="10.28515625" style="17" customWidth="1"/>
    <col min="4873" max="5103" width="9.140625" style="17"/>
    <col min="5104" max="5104" width="7.140625" style="17" customWidth="1"/>
    <col min="5105" max="5105" width="54.5703125" style="17" customWidth="1"/>
    <col min="5106" max="5106" width="19.85546875" style="17" customWidth="1"/>
    <col min="5107" max="5107" width="18" style="17" customWidth="1"/>
    <col min="5108" max="5108" width="20.85546875" style="17" bestFit="1" customWidth="1"/>
    <col min="5109" max="5109" width="17.42578125" style="17" customWidth="1"/>
    <col min="5110" max="5110" width="16.5703125" style="17" customWidth="1"/>
    <col min="5111" max="5111" width="20.42578125" style="17" customWidth="1"/>
    <col min="5112" max="5112" width="21.140625" style="17" customWidth="1"/>
    <col min="5113" max="5122" width="0" style="17" hidden="1" customWidth="1"/>
    <col min="5123" max="5123" width="19" style="17" customWidth="1"/>
    <col min="5124" max="5124" width="12" style="17" customWidth="1"/>
    <col min="5125" max="5127" width="9.140625" style="17"/>
    <col min="5128" max="5128" width="10.28515625" style="17" customWidth="1"/>
    <col min="5129" max="5359" width="9.140625" style="17"/>
    <col min="5360" max="5360" width="7.140625" style="17" customWidth="1"/>
    <col min="5361" max="5361" width="54.5703125" style="17" customWidth="1"/>
    <col min="5362" max="5362" width="19.85546875" style="17" customWidth="1"/>
    <col min="5363" max="5363" width="18" style="17" customWidth="1"/>
    <col min="5364" max="5364" width="20.85546875" style="17" bestFit="1" customWidth="1"/>
    <col min="5365" max="5365" width="17.42578125" style="17" customWidth="1"/>
    <col min="5366" max="5366" width="16.5703125" style="17" customWidth="1"/>
    <col min="5367" max="5367" width="20.42578125" style="17" customWidth="1"/>
    <col min="5368" max="5368" width="21.140625" style="17" customWidth="1"/>
    <col min="5369" max="5378" width="0" style="17" hidden="1" customWidth="1"/>
    <col min="5379" max="5379" width="19" style="17" customWidth="1"/>
    <col min="5380" max="5380" width="12" style="17" customWidth="1"/>
    <col min="5381" max="5383" width="9.140625" style="17"/>
    <col min="5384" max="5384" width="10.28515625" style="17" customWidth="1"/>
    <col min="5385" max="5615" width="9.140625" style="17"/>
    <col min="5616" max="5616" width="7.140625" style="17" customWidth="1"/>
    <col min="5617" max="5617" width="54.5703125" style="17" customWidth="1"/>
    <col min="5618" max="5618" width="19.85546875" style="17" customWidth="1"/>
    <col min="5619" max="5619" width="18" style="17" customWidth="1"/>
    <col min="5620" max="5620" width="20.85546875" style="17" bestFit="1" customWidth="1"/>
    <col min="5621" max="5621" width="17.42578125" style="17" customWidth="1"/>
    <col min="5622" max="5622" width="16.5703125" style="17" customWidth="1"/>
    <col min="5623" max="5623" width="20.42578125" style="17" customWidth="1"/>
    <col min="5624" max="5624" width="21.140625" style="17" customWidth="1"/>
    <col min="5625" max="5634" width="0" style="17" hidden="1" customWidth="1"/>
    <col min="5635" max="5635" width="19" style="17" customWidth="1"/>
    <col min="5636" max="5636" width="12" style="17" customWidth="1"/>
    <col min="5637" max="5639" width="9.140625" style="17"/>
    <col min="5640" max="5640" width="10.28515625" style="17" customWidth="1"/>
    <col min="5641" max="5871" width="9.140625" style="17"/>
    <col min="5872" max="5872" width="7.140625" style="17" customWidth="1"/>
    <col min="5873" max="5873" width="54.5703125" style="17" customWidth="1"/>
    <col min="5874" max="5874" width="19.85546875" style="17" customWidth="1"/>
    <col min="5875" max="5875" width="18" style="17" customWidth="1"/>
    <col min="5876" max="5876" width="20.85546875" style="17" bestFit="1" customWidth="1"/>
    <col min="5877" max="5877" width="17.42578125" style="17" customWidth="1"/>
    <col min="5878" max="5878" width="16.5703125" style="17" customWidth="1"/>
    <col min="5879" max="5879" width="20.42578125" style="17" customWidth="1"/>
    <col min="5880" max="5880" width="21.140625" style="17" customWidth="1"/>
    <col min="5881" max="5890" width="0" style="17" hidden="1" customWidth="1"/>
    <col min="5891" max="5891" width="19" style="17" customWidth="1"/>
    <col min="5892" max="5892" width="12" style="17" customWidth="1"/>
    <col min="5893" max="5895" width="9.140625" style="17"/>
    <col min="5896" max="5896" width="10.28515625" style="17" customWidth="1"/>
    <col min="5897" max="6127" width="9.140625" style="17"/>
    <col min="6128" max="6128" width="7.140625" style="17" customWidth="1"/>
    <col min="6129" max="6129" width="54.5703125" style="17" customWidth="1"/>
    <col min="6130" max="6130" width="19.85546875" style="17" customWidth="1"/>
    <col min="6131" max="6131" width="18" style="17" customWidth="1"/>
    <col min="6132" max="6132" width="20.85546875" style="17" bestFit="1" customWidth="1"/>
    <col min="6133" max="6133" width="17.42578125" style="17" customWidth="1"/>
    <col min="6134" max="6134" width="16.5703125" style="17" customWidth="1"/>
    <col min="6135" max="6135" width="20.42578125" style="17" customWidth="1"/>
    <col min="6136" max="6136" width="21.140625" style="17" customWidth="1"/>
    <col min="6137" max="6146" width="0" style="17" hidden="1" customWidth="1"/>
    <col min="6147" max="6147" width="19" style="17" customWidth="1"/>
    <col min="6148" max="6148" width="12" style="17" customWidth="1"/>
    <col min="6149" max="6151" width="9.140625" style="17"/>
    <col min="6152" max="6152" width="10.28515625" style="17" customWidth="1"/>
    <col min="6153" max="6383" width="9.140625" style="17"/>
    <col min="6384" max="6384" width="7.140625" style="17" customWidth="1"/>
    <col min="6385" max="6385" width="54.5703125" style="17" customWidth="1"/>
    <col min="6386" max="6386" width="19.85546875" style="17" customWidth="1"/>
    <col min="6387" max="6387" width="18" style="17" customWidth="1"/>
    <col min="6388" max="6388" width="20.85546875" style="17" bestFit="1" customWidth="1"/>
    <col min="6389" max="6389" width="17.42578125" style="17" customWidth="1"/>
    <col min="6390" max="6390" width="16.5703125" style="17" customWidth="1"/>
    <col min="6391" max="6391" width="20.42578125" style="17" customWidth="1"/>
    <col min="6392" max="6392" width="21.140625" style="17" customWidth="1"/>
    <col min="6393" max="6402" width="0" style="17" hidden="1" customWidth="1"/>
    <col min="6403" max="6403" width="19" style="17" customWidth="1"/>
    <col min="6404" max="6404" width="12" style="17" customWidth="1"/>
    <col min="6405" max="6407" width="9.140625" style="17"/>
    <col min="6408" max="6408" width="10.28515625" style="17" customWidth="1"/>
    <col min="6409" max="6639" width="9.140625" style="17"/>
    <col min="6640" max="6640" width="7.140625" style="17" customWidth="1"/>
    <col min="6641" max="6641" width="54.5703125" style="17" customWidth="1"/>
    <col min="6642" max="6642" width="19.85546875" style="17" customWidth="1"/>
    <col min="6643" max="6643" width="18" style="17" customWidth="1"/>
    <col min="6644" max="6644" width="20.85546875" style="17" bestFit="1" customWidth="1"/>
    <col min="6645" max="6645" width="17.42578125" style="17" customWidth="1"/>
    <col min="6646" max="6646" width="16.5703125" style="17" customWidth="1"/>
    <col min="6647" max="6647" width="20.42578125" style="17" customWidth="1"/>
    <col min="6648" max="6648" width="21.140625" style="17" customWidth="1"/>
    <col min="6649" max="6658" width="0" style="17" hidden="1" customWidth="1"/>
    <col min="6659" max="6659" width="19" style="17" customWidth="1"/>
    <col min="6660" max="6660" width="12" style="17" customWidth="1"/>
    <col min="6661" max="6663" width="9.140625" style="17"/>
    <col min="6664" max="6664" width="10.28515625" style="17" customWidth="1"/>
    <col min="6665" max="6895" width="9.140625" style="17"/>
    <col min="6896" max="6896" width="7.140625" style="17" customWidth="1"/>
    <col min="6897" max="6897" width="54.5703125" style="17" customWidth="1"/>
    <col min="6898" max="6898" width="19.85546875" style="17" customWidth="1"/>
    <col min="6899" max="6899" width="18" style="17" customWidth="1"/>
    <col min="6900" max="6900" width="20.85546875" style="17" bestFit="1" customWidth="1"/>
    <col min="6901" max="6901" width="17.42578125" style="17" customWidth="1"/>
    <col min="6902" max="6902" width="16.5703125" style="17" customWidth="1"/>
    <col min="6903" max="6903" width="20.42578125" style="17" customWidth="1"/>
    <col min="6904" max="6904" width="21.140625" style="17" customWidth="1"/>
    <col min="6905" max="6914" width="0" style="17" hidden="1" customWidth="1"/>
    <col min="6915" max="6915" width="19" style="17" customWidth="1"/>
    <col min="6916" max="6916" width="12" style="17" customWidth="1"/>
    <col min="6917" max="6919" width="9.140625" style="17"/>
    <col min="6920" max="6920" width="10.28515625" style="17" customWidth="1"/>
    <col min="6921" max="7151" width="9.140625" style="17"/>
    <col min="7152" max="7152" width="7.140625" style="17" customWidth="1"/>
    <col min="7153" max="7153" width="54.5703125" style="17" customWidth="1"/>
    <col min="7154" max="7154" width="19.85546875" style="17" customWidth="1"/>
    <col min="7155" max="7155" width="18" style="17" customWidth="1"/>
    <col min="7156" max="7156" width="20.85546875" style="17" bestFit="1" customWidth="1"/>
    <col min="7157" max="7157" width="17.42578125" style="17" customWidth="1"/>
    <col min="7158" max="7158" width="16.5703125" style="17" customWidth="1"/>
    <col min="7159" max="7159" width="20.42578125" style="17" customWidth="1"/>
    <col min="7160" max="7160" width="21.140625" style="17" customWidth="1"/>
    <col min="7161" max="7170" width="0" style="17" hidden="1" customWidth="1"/>
    <col min="7171" max="7171" width="19" style="17" customWidth="1"/>
    <col min="7172" max="7172" width="12" style="17" customWidth="1"/>
    <col min="7173" max="7175" width="9.140625" style="17"/>
    <col min="7176" max="7176" width="10.28515625" style="17" customWidth="1"/>
    <col min="7177" max="7407" width="9.140625" style="17"/>
    <col min="7408" max="7408" width="7.140625" style="17" customWidth="1"/>
    <col min="7409" max="7409" width="54.5703125" style="17" customWidth="1"/>
    <col min="7410" max="7410" width="19.85546875" style="17" customWidth="1"/>
    <col min="7411" max="7411" width="18" style="17" customWidth="1"/>
    <col min="7412" max="7412" width="20.85546875" style="17" bestFit="1" customWidth="1"/>
    <col min="7413" max="7413" width="17.42578125" style="17" customWidth="1"/>
    <col min="7414" max="7414" width="16.5703125" style="17" customWidth="1"/>
    <col min="7415" max="7415" width="20.42578125" style="17" customWidth="1"/>
    <col min="7416" max="7416" width="21.140625" style="17" customWidth="1"/>
    <col min="7417" max="7426" width="0" style="17" hidden="1" customWidth="1"/>
    <col min="7427" max="7427" width="19" style="17" customWidth="1"/>
    <col min="7428" max="7428" width="12" style="17" customWidth="1"/>
    <col min="7429" max="7431" width="9.140625" style="17"/>
    <col min="7432" max="7432" width="10.28515625" style="17" customWidth="1"/>
    <col min="7433" max="7663" width="9.140625" style="17"/>
    <col min="7664" max="7664" width="7.140625" style="17" customWidth="1"/>
    <col min="7665" max="7665" width="54.5703125" style="17" customWidth="1"/>
    <col min="7666" max="7666" width="19.85546875" style="17" customWidth="1"/>
    <col min="7667" max="7667" width="18" style="17" customWidth="1"/>
    <col min="7668" max="7668" width="20.85546875" style="17" bestFit="1" customWidth="1"/>
    <col min="7669" max="7669" width="17.42578125" style="17" customWidth="1"/>
    <col min="7670" max="7670" width="16.5703125" style="17" customWidth="1"/>
    <col min="7671" max="7671" width="20.42578125" style="17" customWidth="1"/>
    <col min="7672" max="7672" width="21.140625" style="17" customWidth="1"/>
    <col min="7673" max="7682" width="0" style="17" hidden="1" customWidth="1"/>
    <col min="7683" max="7683" width="19" style="17" customWidth="1"/>
    <col min="7684" max="7684" width="12" style="17" customWidth="1"/>
    <col min="7685" max="7687" width="9.140625" style="17"/>
    <col min="7688" max="7688" width="10.28515625" style="17" customWidth="1"/>
    <col min="7689" max="7919" width="9.140625" style="17"/>
    <col min="7920" max="7920" width="7.140625" style="17" customWidth="1"/>
    <col min="7921" max="7921" width="54.5703125" style="17" customWidth="1"/>
    <col min="7922" max="7922" width="19.85546875" style="17" customWidth="1"/>
    <col min="7923" max="7923" width="18" style="17" customWidth="1"/>
    <col min="7924" max="7924" width="20.85546875" style="17" bestFit="1" customWidth="1"/>
    <col min="7925" max="7925" width="17.42578125" style="17" customWidth="1"/>
    <col min="7926" max="7926" width="16.5703125" style="17" customWidth="1"/>
    <col min="7927" max="7927" width="20.42578125" style="17" customWidth="1"/>
    <col min="7928" max="7928" width="21.140625" style="17" customWidth="1"/>
    <col min="7929" max="7938" width="0" style="17" hidden="1" customWidth="1"/>
    <col min="7939" max="7939" width="19" style="17" customWidth="1"/>
    <col min="7940" max="7940" width="12" style="17" customWidth="1"/>
    <col min="7941" max="7943" width="9.140625" style="17"/>
    <col min="7944" max="7944" width="10.28515625" style="17" customWidth="1"/>
    <col min="7945" max="8175" width="9.140625" style="17"/>
    <col min="8176" max="8176" width="7.140625" style="17" customWidth="1"/>
    <col min="8177" max="8177" width="54.5703125" style="17" customWidth="1"/>
    <col min="8178" max="8178" width="19.85546875" style="17" customWidth="1"/>
    <col min="8179" max="8179" width="18" style="17" customWidth="1"/>
    <col min="8180" max="8180" width="20.85546875" style="17" bestFit="1" customWidth="1"/>
    <col min="8181" max="8181" width="17.42578125" style="17" customWidth="1"/>
    <col min="8182" max="8182" width="16.5703125" style="17" customWidth="1"/>
    <col min="8183" max="8183" width="20.42578125" style="17" customWidth="1"/>
    <col min="8184" max="8184" width="21.140625" style="17" customWidth="1"/>
    <col min="8185" max="8194" width="0" style="17" hidden="1" customWidth="1"/>
    <col min="8195" max="8195" width="19" style="17" customWidth="1"/>
    <col min="8196" max="8196" width="12" style="17" customWidth="1"/>
    <col min="8197" max="8199" width="9.140625" style="17"/>
    <col min="8200" max="8200" width="10.28515625" style="17" customWidth="1"/>
    <col min="8201" max="8431" width="9.140625" style="17"/>
    <col min="8432" max="8432" width="7.140625" style="17" customWidth="1"/>
    <col min="8433" max="8433" width="54.5703125" style="17" customWidth="1"/>
    <col min="8434" max="8434" width="19.85546875" style="17" customWidth="1"/>
    <col min="8435" max="8435" width="18" style="17" customWidth="1"/>
    <col min="8436" max="8436" width="20.85546875" style="17" bestFit="1" customWidth="1"/>
    <col min="8437" max="8437" width="17.42578125" style="17" customWidth="1"/>
    <col min="8438" max="8438" width="16.5703125" style="17" customWidth="1"/>
    <col min="8439" max="8439" width="20.42578125" style="17" customWidth="1"/>
    <col min="8440" max="8440" width="21.140625" style="17" customWidth="1"/>
    <col min="8441" max="8450" width="0" style="17" hidden="1" customWidth="1"/>
    <col min="8451" max="8451" width="19" style="17" customWidth="1"/>
    <col min="8452" max="8452" width="12" style="17" customWidth="1"/>
    <col min="8453" max="8455" width="9.140625" style="17"/>
    <col min="8456" max="8456" width="10.28515625" style="17" customWidth="1"/>
    <col min="8457" max="8687" width="9.140625" style="17"/>
    <col min="8688" max="8688" width="7.140625" style="17" customWidth="1"/>
    <col min="8689" max="8689" width="54.5703125" style="17" customWidth="1"/>
    <col min="8690" max="8690" width="19.85546875" style="17" customWidth="1"/>
    <col min="8691" max="8691" width="18" style="17" customWidth="1"/>
    <col min="8692" max="8692" width="20.85546875" style="17" bestFit="1" customWidth="1"/>
    <col min="8693" max="8693" width="17.42578125" style="17" customWidth="1"/>
    <col min="8694" max="8694" width="16.5703125" style="17" customWidth="1"/>
    <col min="8695" max="8695" width="20.42578125" style="17" customWidth="1"/>
    <col min="8696" max="8696" width="21.140625" style="17" customWidth="1"/>
    <col min="8697" max="8706" width="0" style="17" hidden="1" customWidth="1"/>
    <col min="8707" max="8707" width="19" style="17" customWidth="1"/>
    <col min="8708" max="8708" width="12" style="17" customWidth="1"/>
    <col min="8709" max="8711" width="9.140625" style="17"/>
    <col min="8712" max="8712" width="10.28515625" style="17" customWidth="1"/>
    <col min="8713" max="8943" width="9.140625" style="17"/>
    <col min="8944" max="8944" width="7.140625" style="17" customWidth="1"/>
    <col min="8945" max="8945" width="54.5703125" style="17" customWidth="1"/>
    <col min="8946" max="8946" width="19.85546875" style="17" customWidth="1"/>
    <col min="8947" max="8947" width="18" style="17" customWidth="1"/>
    <col min="8948" max="8948" width="20.85546875" style="17" bestFit="1" customWidth="1"/>
    <col min="8949" max="8949" width="17.42578125" style="17" customWidth="1"/>
    <col min="8950" max="8950" width="16.5703125" style="17" customWidth="1"/>
    <col min="8951" max="8951" width="20.42578125" style="17" customWidth="1"/>
    <col min="8952" max="8952" width="21.140625" style="17" customWidth="1"/>
    <col min="8953" max="8962" width="0" style="17" hidden="1" customWidth="1"/>
    <col min="8963" max="8963" width="19" style="17" customWidth="1"/>
    <col min="8964" max="8964" width="12" style="17" customWidth="1"/>
    <col min="8965" max="8967" width="9.140625" style="17"/>
    <col min="8968" max="8968" width="10.28515625" style="17" customWidth="1"/>
    <col min="8969" max="9199" width="9.140625" style="17"/>
    <col min="9200" max="9200" width="7.140625" style="17" customWidth="1"/>
    <col min="9201" max="9201" width="54.5703125" style="17" customWidth="1"/>
    <col min="9202" max="9202" width="19.85546875" style="17" customWidth="1"/>
    <col min="9203" max="9203" width="18" style="17" customWidth="1"/>
    <col min="9204" max="9204" width="20.85546875" style="17" bestFit="1" customWidth="1"/>
    <col min="9205" max="9205" width="17.42578125" style="17" customWidth="1"/>
    <col min="9206" max="9206" width="16.5703125" style="17" customWidth="1"/>
    <col min="9207" max="9207" width="20.42578125" style="17" customWidth="1"/>
    <col min="9208" max="9208" width="21.140625" style="17" customWidth="1"/>
    <col min="9209" max="9218" width="0" style="17" hidden="1" customWidth="1"/>
    <col min="9219" max="9219" width="19" style="17" customWidth="1"/>
    <col min="9220" max="9220" width="12" style="17" customWidth="1"/>
    <col min="9221" max="9223" width="9.140625" style="17"/>
    <col min="9224" max="9224" width="10.28515625" style="17" customWidth="1"/>
    <col min="9225" max="9455" width="9.140625" style="17"/>
    <col min="9456" max="9456" width="7.140625" style="17" customWidth="1"/>
    <col min="9457" max="9457" width="54.5703125" style="17" customWidth="1"/>
    <col min="9458" max="9458" width="19.85546875" style="17" customWidth="1"/>
    <col min="9459" max="9459" width="18" style="17" customWidth="1"/>
    <col min="9460" max="9460" width="20.85546875" style="17" bestFit="1" customWidth="1"/>
    <col min="9461" max="9461" width="17.42578125" style="17" customWidth="1"/>
    <col min="9462" max="9462" width="16.5703125" style="17" customWidth="1"/>
    <col min="9463" max="9463" width="20.42578125" style="17" customWidth="1"/>
    <col min="9464" max="9464" width="21.140625" style="17" customWidth="1"/>
    <col min="9465" max="9474" width="0" style="17" hidden="1" customWidth="1"/>
    <col min="9475" max="9475" width="19" style="17" customWidth="1"/>
    <col min="9476" max="9476" width="12" style="17" customWidth="1"/>
    <col min="9477" max="9479" width="9.140625" style="17"/>
    <col min="9480" max="9480" width="10.28515625" style="17" customWidth="1"/>
    <col min="9481" max="9711" width="9.140625" style="17"/>
    <col min="9712" max="9712" width="7.140625" style="17" customWidth="1"/>
    <col min="9713" max="9713" width="54.5703125" style="17" customWidth="1"/>
    <col min="9714" max="9714" width="19.85546875" style="17" customWidth="1"/>
    <col min="9715" max="9715" width="18" style="17" customWidth="1"/>
    <col min="9716" max="9716" width="20.85546875" style="17" bestFit="1" customWidth="1"/>
    <col min="9717" max="9717" width="17.42578125" style="17" customWidth="1"/>
    <col min="9718" max="9718" width="16.5703125" style="17" customWidth="1"/>
    <col min="9719" max="9719" width="20.42578125" style="17" customWidth="1"/>
    <col min="9720" max="9720" width="21.140625" style="17" customWidth="1"/>
    <col min="9721" max="9730" width="0" style="17" hidden="1" customWidth="1"/>
    <col min="9731" max="9731" width="19" style="17" customWidth="1"/>
    <col min="9732" max="9732" width="12" style="17" customWidth="1"/>
    <col min="9733" max="9735" width="9.140625" style="17"/>
    <col min="9736" max="9736" width="10.28515625" style="17" customWidth="1"/>
    <col min="9737" max="9967" width="9.140625" style="17"/>
    <col min="9968" max="9968" width="7.140625" style="17" customWidth="1"/>
    <col min="9969" max="9969" width="54.5703125" style="17" customWidth="1"/>
    <col min="9970" max="9970" width="19.85546875" style="17" customWidth="1"/>
    <col min="9971" max="9971" width="18" style="17" customWidth="1"/>
    <col min="9972" max="9972" width="20.85546875" style="17" bestFit="1" customWidth="1"/>
    <col min="9973" max="9973" width="17.42578125" style="17" customWidth="1"/>
    <col min="9974" max="9974" width="16.5703125" style="17" customWidth="1"/>
    <col min="9975" max="9975" width="20.42578125" style="17" customWidth="1"/>
    <col min="9976" max="9976" width="21.140625" style="17" customWidth="1"/>
    <col min="9977" max="9986" width="0" style="17" hidden="1" customWidth="1"/>
    <col min="9987" max="9987" width="19" style="17" customWidth="1"/>
    <col min="9988" max="9988" width="12" style="17" customWidth="1"/>
    <col min="9989" max="9991" width="9.140625" style="17"/>
    <col min="9992" max="9992" width="10.28515625" style="17" customWidth="1"/>
    <col min="9993" max="10223" width="9.140625" style="17"/>
    <col min="10224" max="10224" width="7.140625" style="17" customWidth="1"/>
    <col min="10225" max="10225" width="54.5703125" style="17" customWidth="1"/>
    <col min="10226" max="10226" width="19.85546875" style="17" customWidth="1"/>
    <col min="10227" max="10227" width="18" style="17" customWidth="1"/>
    <col min="10228" max="10228" width="20.85546875" style="17" bestFit="1" customWidth="1"/>
    <col min="10229" max="10229" width="17.42578125" style="17" customWidth="1"/>
    <col min="10230" max="10230" width="16.5703125" style="17" customWidth="1"/>
    <col min="10231" max="10231" width="20.42578125" style="17" customWidth="1"/>
    <col min="10232" max="10232" width="21.140625" style="17" customWidth="1"/>
    <col min="10233" max="10242" width="0" style="17" hidden="1" customWidth="1"/>
    <col min="10243" max="10243" width="19" style="17" customWidth="1"/>
    <col min="10244" max="10244" width="12" style="17" customWidth="1"/>
    <col min="10245" max="10247" width="9.140625" style="17"/>
    <col min="10248" max="10248" width="10.28515625" style="17" customWidth="1"/>
    <col min="10249" max="10479" width="9.140625" style="17"/>
    <col min="10480" max="10480" width="7.140625" style="17" customWidth="1"/>
    <col min="10481" max="10481" width="54.5703125" style="17" customWidth="1"/>
    <col min="10482" max="10482" width="19.85546875" style="17" customWidth="1"/>
    <col min="10483" max="10483" width="18" style="17" customWidth="1"/>
    <col min="10484" max="10484" width="20.85546875" style="17" bestFit="1" customWidth="1"/>
    <col min="10485" max="10485" width="17.42578125" style="17" customWidth="1"/>
    <col min="10486" max="10486" width="16.5703125" style="17" customWidth="1"/>
    <col min="10487" max="10487" width="20.42578125" style="17" customWidth="1"/>
    <col min="10488" max="10488" width="21.140625" style="17" customWidth="1"/>
    <col min="10489" max="10498" width="0" style="17" hidden="1" customWidth="1"/>
    <col min="10499" max="10499" width="19" style="17" customWidth="1"/>
    <col min="10500" max="10500" width="12" style="17" customWidth="1"/>
    <col min="10501" max="10503" width="9.140625" style="17"/>
    <col min="10504" max="10504" width="10.28515625" style="17" customWidth="1"/>
    <col min="10505" max="10735" width="9.140625" style="17"/>
    <col min="10736" max="10736" width="7.140625" style="17" customWidth="1"/>
    <col min="10737" max="10737" width="54.5703125" style="17" customWidth="1"/>
    <col min="10738" max="10738" width="19.85546875" style="17" customWidth="1"/>
    <col min="10739" max="10739" width="18" style="17" customWidth="1"/>
    <col min="10740" max="10740" width="20.85546875" style="17" bestFit="1" customWidth="1"/>
    <col min="10741" max="10741" width="17.42578125" style="17" customWidth="1"/>
    <col min="10742" max="10742" width="16.5703125" style="17" customWidth="1"/>
    <col min="10743" max="10743" width="20.42578125" style="17" customWidth="1"/>
    <col min="10744" max="10744" width="21.140625" style="17" customWidth="1"/>
    <col min="10745" max="10754" width="0" style="17" hidden="1" customWidth="1"/>
    <col min="10755" max="10755" width="19" style="17" customWidth="1"/>
    <col min="10756" max="10756" width="12" style="17" customWidth="1"/>
    <col min="10757" max="10759" width="9.140625" style="17"/>
    <col min="10760" max="10760" width="10.28515625" style="17" customWidth="1"/>
    <col min="10761" max="10991" width="9.140625" style="17"/>
    <col min="10992" max="10992" width="7.140625" style="17" customWidth="1"/>
    <col min="10993" max="10993" width="54.5703125" style="17" customWidth="1"/>
    <col min="10994" max="10994" width="19.85546875" style="17" customWidth="1"/>
    <col min="10995" max="10995" width="18" style="17" customWidth="1"/>
    <col min="10996" max="10996" width="20.85546875" style="17" bestFit="1" customWidth="1"/>
    <col min="10997" max="10997" width="17.42578125" style="17" customWidth="1"/>
    <col min="10998" max="10998" width="16.5703125" style="17" customWidth="1"/>
    <col min="10999" max="10999" width="20.42578125" style="17" customWidth="1"/>
    <col min="11000" max="11000" width="21.140625" style="17" customWidth="1"/>
    <col min="11001" max="11010" width="0" style="17" hidden="1" customWidth="1"/>
    <col min="11011" max="11011" width="19" style="17" customWidth="1"/>
    <col min="11012" max="11012" width="12" style="17" customWidth="1"/>
    <col min="11013" max="11015" width="9.140625" style="17"/>
    <col min="11016" max="11016" width="10.28515625" style="17" customWidth="1"/>
    <col min="11017" max="11247" width="9.140625" style="17"/>
    <col min="11248" max="11248" width="7.140625" style="17" customWidth="1"/>
    <col min="11249" max="11249" width="54.5703125" style="17" customWidth="1"/>
    <col min="11250" max="11250" width="19.85546875" style="17" customWidth="1"/>
    <col min="11251" max="11251" width="18" style="17" customWidth="1"/>
    <col min="11252" max="11252" width="20.85546875" style="17" bestFit="1" customWidth="1"/>
    <col min="11253" max="11253" width="17.42578125" style="17" customWidth="1"/>
    <col min="11254" max="11254" width="16.5703125" style="17" customWidth="1"/>
    <col min="11255" max="11255" width="20.42578125" style="17" customWidth="1"/>
    <col min="11256" max="11256" width="21.140625" style="17" customWidth="1"/>
    <col min="11257" max="11266" width="0" style="17" hidden="1" customWidth="1"/>
    <col min="11267" max="11267" width="19" style="17" customWidth="1"/>
    <col min="11268" max="11268" width="12" style="17" customWidth="1"/>
    <col min="11269" max="11271" width="9.140625" style="17"/>
    <col min="11272" max="11272" width="10.28515625" style="17" customWidth="1"/>
    <col min="11273" max="11503" width="9.140625" style="17"/>
    <col min="11504" max="11504" width="7.140625" style="17" customWidth="1"/>
    <col min="11505" max="11505" width="54.5703125" style="17" customWidth="1"/>
    <col min="11506" max="11506" width="19.85546875" style="17" customWidth="1"/>
    <col min="11507" max="11507" width="18" style="17" customWidth="1"/>
    <col min="11508" max="11508" width="20.85546875" style="17" bestFit="1" customWidth="1"/>
    <col min="11509" max="11509" width="17.42578125" style="17" customWidth="1"/>
    <col min="11510" max="11510" width="16.5703125" style="17" customWidth="1"/>
    <col min="11511" max="11511" width="20.42578125" style="17" customWidth="1"/>
    <col min="11512" max="11512" width="21.140625" style="17" customWidth="1"/>
    <col min="11513" max="11522" width="0" style="17" hidden="1" customWidth="1"/>
    <col min="11523" max="11523" width="19" style="17" customWidth="1"/>
    <col min="11524" max="11524" width="12" style="17" customWidth="1"/>
    <col min="11525" max="11527" width="9.140625" style="17"/>
    <col min="11528" max="11528" width="10.28515625" style="17" customWidth="1"/>
    <col min="11529" max="11759" width="9.140625" style="17"/>
    <col min="11760" max="11760" width="7.140625" style="17" customWidth="1"/>
    <col min="11761" max="11761" width="54.5703125" style="17" customWidth="1"/>
    <col min="11762" max="11762" width="19.85546875" style="17" customWidth="1"/>
    <col min="11763" max="11763" width="18" style="17" customWidth="1"/>
    <col min="11764" max="11764" width="20.85546875" style="17" bestFit="1" customWidth="1"/>
    <col min="11765" max="11765" width="17.42578125" style="17" customWidth="1"/>
    <col min="11766" max="11766" width="16.5703125" style="17" customWidth="1"/>
    <col min="11767" max="11767" width="20.42578125" style="17" customWidth="1"/>
    <col min="11768" max="11768" width="21.140625" style="17" customWidth="1"/>
    <col min="11769" max="11778" width="0" style="17" hidden="1" customWidth="1"/>
    <col min="11779" max="11779" width="19" style="17" customWidth="1"/>
    <col min="11780" max="11780" width="12" style="17" customWidth="1"/>
    <col min="11781" max="11783" width="9.140625" style="17"/>
    <col min="11784" max="11784" width="10.28515625" style="17" customWidth="1"/>
    <col min="11785" max="12015" width="9.140625" style="17"/>
    <col min="12016" max="12016" width="7.140625" style="17" customWidth="1"/>
    <col min="12017" max="12017" width="54.5703125" style="17" customWidth="1"/>
    <col min="12018" max="12018" width="19.85546875" style="17" customWidth="1"/>
    <col min="12019" max="12019" width="18" style="17" customWidth="1"/>
    <col min="12020" max="12020" width="20.85546875" style="17" bestFit="1" customWidth="1"/>
    <col min="12021" max="12021" width="17.42578125" style="17" customWidth="1"/>
    <col min="12022" max="12022" width="16.5703125" style="17" customWidth="1"/>
    <col min="12023" max="12023" width="20.42578125" style="17" customWidth="1"/>
    <col min="12024" max="12024" width="21.140625" style="17" customWidth="1"/>
    <col min="12025" max="12034" width="0" style="17" hidden="1" customWidth="1"/>
    <col min="12035" max="12035" width="19" style="17" customWidth="1"/>
    <col min="12036" max="12036" width="12" style="17" customWidth="1"/>
    <col min="12037" max="12039" width="9.140625" style="17"/>
    <col min="12040" max="12040" width="10.28515625" style="17" customWidth="1"/>
    <col min="12041" max="12271" width="9.140625" style="17"/>
    <col min="12272" max="12272" width="7.140625" style="17" customWidth="1"/>
    <col min="12273" max="12273" width="54.5703125" style="17" customWidth="1"/>
    <col min="12274" max="12274" width="19.85546875" style="17" customWidth="1"/>
    <col min="12275" max="12275" width="18" style="17" customWidth="1"/>
    <col min="12276" max="12276" width="20.85546875" style="17" bestFit="1" customWidth="1"/>
    <col min="12277" max="12277" width="17.42578125" style="17" customWidth="1"/>
    <col min="12278" max="12278" width="16.5703125" style="17" customWidth="1"/>
    <col min="12279" max="12279" width="20.42578125" style="17" customWidth="1"/>
    <col min="12280" max="12280" width="21.140625" style="17" customWidth="1"/>
    <col min="12281" max="12290" width="0" style="17" hidden="1" customWidth="1"/>
    <col min="12291" max="12291" width="19" style="17" customWidth="1"/>
    <col min="12292" max="12292" width="12" style="17" customWidth="1"/>
    <col min="12293" max="12295" width="9.140625" style="17"/>
    <col min="12296" max="12296" width="10.28515625" style="17" customWidth="1"/>
    <col min="12297" max="12527" width="9.140625" style="17"/>
    <col min="12528" max="12528" width="7.140625" style="17" customWidth="1"/>
    <col min="12529" max="12529" width="54.5703125" style="17" customWidth="1"/>
    <col min="12530" max="12530" width="19.85546875" style="17" customWidth="1"/>
    <col min="12531" max="12531" width="18" style="17" customWidth="1"/>
    <col min="12532" max="12532" width="20.85546875" style="17" bestFit="1" customWidth="1"/>
    <col min="12533" max="12533" width="17.42578125" style="17" customWidth="1"/>
    <col min="12534" max="12534" width="16.5703125" style="17" customWidth="1"/>
    <col min="12535" max="12535" width="20.42578125" style="17" customWidth="1"/>
    <col min="12536" max="12536" width="21.140625" style="17" customWidth="1"/>
    <col min="12537" max="12546" width="0" style="17" hidden="1" customWidth="1"/>
    <col min="12547" max="12547" width="19" style="17" customWidth="1"/>
    <col min="12548" max="12548" width="12" style="17" customWidth="1"/>
    <col min="12549" max="12551" width="9.140625" style="17"/>
    <col min="12552" max="12552" width="10.28515625" style="17" customWidth="1"/>
    <col min="12553" max="12783" width="9.140625" style="17"/>
    <col min="12784" max="12784" width="7.140625" style="17" customWidth="1"/>
    <col min="12785" max="12785" width="54.5703125" style="17" customWidth="1"/>
    <col min="12786" max="12786" width="19.85546875" style="17" customWidth="1"/>
    <col min="12787" max="12787" width="18" style="17" customWidth="1"/>
    <col min="12788" max="12788" width="20.85546875" style="17" bestFit="1" customWidth="1"/>
    <col min="12789" max="12789" width="17.42578125" style="17" customWidth="1"/>
    <col min="12790" max="12790" width="16.5703125" style="17" customWidth="1"/>
    <col min="12791" max="12791" width="20.42578125" style="17" customWidth="1"/>
    <col min="12792" max="12792" width="21.140625" style="17" customWidth="1"/>
    <col min="12793" max="12802" width="0" style="17" hidden="1" customWidth="1"/>
    <col min="12803" max="12803" width="19" style="17" customWidth="1"/>
    <col min="12804" max="12804" width="12" style="17" customWidth="1"/>
    <col min="12805" max="12807" width="9.140625" style="17"/>
    <col min="12808" max="12808" width="10.28515625" style="17" customWidth="1"/>
    <col min="12809" max="13039" width="9.140625" style="17"/>
    <col min="13040" max="13040" width="7.140625" style="17" customWidth="1"/>
    <col min="13041" max="13041" width="54.5703125" style="17" customWidth="1"/>
    <col min="13042" max="13042" width="19.85546875" style="17" customWidth="1"/>
    <col min="13043" max="13043" width="18" style="17" customWidth="1"/>
    <col min="13044" max="13044" width="20.85546875" style="17" bestFit="1" customWidth="1"/>
    <col min="13045" max="13045" width="17.42578125" style="17" customWidth="1"/>
    <col min="13046" max="13046" width="16.5703125" style="17" customWidth="1"/>
    <col min="13047" max="13047" width="20.42578125" style="17" customWidth="1"/>
    <col min="13048" max="13048" width="21.140625" style="17" customWidth="1"/>
    <col min="13049" max="13058" width="0" style="17" hidden="1" customWidth="1"/>
    <col min="13059" max="13059" width="19" style="17" customWidth="1"/>
    <col min="13060" max="13060" width="12" style="17" customWidth="1"/>
    <col min="13061" max="13063" width="9.140625" style="17"/>
    <col min="13064" max="13064" width="10.28515625" style="17" customWidth="1"/>
    <col min="13065" max="13295" width="9.140625" style="17"/>
    <col min="13296" max="13296" width="7.140625" style="17" customWidth="1"/>
    <col min="13297" max="13297" width="54.5703125" style="17" customWidth="1"/>
    <col min="13298" max="13298" width="19.85546875" style="17" customWidth="1"/>
    <col min="13299" max="13299" width="18" style="17" customWidth="1"/>
    <col min="13300" max="13300" width="20.85546875" style="17" bestFit="1" customWidth="1"/>
    <col min="13301" max="13301" width="17.42578125" style="17" customWidth="1"/>
    <col min="13302" max="13302" width="16.5703125" style="17" customWidth="1"/>
    <col min="13303" max="13303" width="20.42578125" style="17" customWidth="1"/>
    <col min="13304" max="13304" width="21.140625" style="17" customWidth="1"/>
    <col min="13305" max="13314" width="0" style="17" hidden="1" customWidth="1"/>
    <col min="13315" max="13315" width="19" style="17" customWidth="1"/>
    <col min="13316" max="13316" width="12" style="17" customWidth="1"/>
    <col min="13317" max="13319" width="9.140625" style="17"/>
    <col min="13320" max="13320" width="10.28515625" style="17" customWidth="1"/>
    <col min="13321" max="13551" width="9.140625" style="17"/>
    <col min="13552" max="13552" width="7.140625" style="17" customWidth="1"/>
    <col min="13553" max="13553" width="54.5703125" style="17" customWidth="1"/>
    <col min="13554" max="13554" width="19.85546875" style="17" customWidth="1"/>
    <col min="13555" max="13555" width="18" style="17" customWidth="1"/>
    <col min="13556" max="13556" width="20.85546875" style="17" bestFit="1" customWidth="1"/>
    <col min="13557" max="13557" width="17.42578125" style="17" customWidth="1"/>
    <col min="13558" max="13558" width="16.5703125" style="17" customWidth="1"/>
    <col min="13559" max="13559" width="20.42578125" style="17" customWidth="1"/>
    <col min="13560" max="13560" width="21.140625" style="17" customWidth="1"/>
    <col min="13561" max="13570" width="0" style="17" hidden="1" customWidth="1"/>
    <col min="13571" max="13571" width="19" style="17" customWidth="1"/>
    <col min="13572" max="13572" width="12" style="17" customWidth="1"/>
    <col min="13573" max="13575" width="9.140625" style="17"/>
    <col min="13576" max="13576" width="10.28515625" style="17" customWidth="1"/>
    <col min="13577" max="13807" width="9.140625" style="17"/>
    <col min="13808" max="13808" width="7.140625" style="17" customWidth="1"/>
    <col min="13809" max="13809" width="54.5703125" style="17" customWidth="1"/>
    <col min="13810" max="13810" width="19.85546875" style="17" customWidth="1"/>
    <col min="13811" max="13811" width="18" style="17" customWidth="1"/>
    <col min="13812" max="13812" width="20.85546875" style="17" bestFit="1" customWidth="1"/>
    <col min="13813" max="13813" width="17.42578125" style="17" customWidth="1"/>
    <col min="13814" max="13814" width="16.5703125" style="17" customWidth="1"/>
    <col min="13815" max="13815" width="20.42578125" style="17" customWidth="1"/>
    <col min="13816" max="13816" width="21.140625" style="17" customWidth="1"/>
    <col min="13817" max="13826" width="0" style="17" hidden="1" customWidth="1"/>
    <col min="13827" max="13827" width="19" style="17" customWidth="1"/>
    <col min="13828" max="13828" width="12" style="17" customWidth="1"/>
    <col min="13829" max="13831" width="9.140625" style="17"/>
    <col min="13832" max="13832" width="10.28515625" style="17" customWidth="1"/>
    <col min="13833" max="14063" width="9.140625" style="17"/>
    <col min="14064" max="14064" width="7.140625" style="17" customWidth="1"/>
    <col min="14065" max="14065" width="54.5703125" style="17" customWidth="1"/>
    <col min="14066" max="14066" width="19.85546875" style="17" customWidth="1"/>
    <col min="14067" max="14067" width="18" style="17" customWidth="1"/>
    <col min="14068" max="14068" width="20.85546875" style="17" bestFit="1" customWidth="1"/>
    <col min="14069" max="14069" width="17.42578125" style="17" customWidth="1"/>
    <col min="14070" max="14070" width="16.5703125" style="17" customWidth="1"/>
    <col min="14071" max="14071" width="20.42578125" style="17" customWidth="1"/>
    <col min="14072" max="14072" width="21.140625" style="17" customWidth="1"/>
    <col min="14073" max="14082" width="0" style="17" hidden="1" customWidth="1"/>
    <col min="14083" max="14083" width="19" style="17" customWidth="1"/>
    <col min="14084" max="14084" width="12" style="17" customWidth="1"/>
    <col min="14085" max="14087" width="9.140625" style="17"/>
    <col min="14088" max="14088" width="10.28515625" style="17" customWidth="1"/>
    <col min="14089" max="14319" width="9.140625" style="17"/>
    <col min="14320" max="14320" width="7.140625" style="17" customWidth="1"/>
    <col min="14321" max="14321" width="54.5703125" style="17" customWidth="1"/>
    <col min="14322" max="14322" width="19.85546875" style="17" customWidth="1"/>
    <col min="14323" max="14323" width="18" style="17" customWidth="1"/>
    <col min="14324" max="14324" width="20.85546875" style="17" bestFit="1" customWidth="1"/>
    <col min="14325" max="14325" width="17.42578125" style="17" customWidth="1"/>
    <col min="14326" max="14326" width="16.5703125" style="17" customWidth="1"/>
    <col min="14327" max="14327" width="20.42578125" style="17" customWidth="1"/>
    <col min="14328" max="14328" width="21.140625" style="17" customWidth="1"/>
    <col min="14329" max="14338" width="0" style="17" hidden="1" customWidth="1"/>
    <col min="14339" max="14339" width="19" style="17" customWidth="1"/>
    <col min="14340" max="14340" width="12" style="17" customWidth="1"/>
    <col min="14341" max="14343" width="9.140625" style="17"/>
    <col min="14344" max="14344" width="10.28515625" style="17" customWidth="1"/>
    <col min="14345" max="14575" width="9.140625" style="17"/>
    <col min="14576" max="14576" width="7.140625" style="17" customWidth="1"/>
    <col min="14577" max="14577" width="54.5703125" style="17" customWidth="1"/>
    <col min="14578" max="14578" width="19.85546875" style="17" customWidth="1"/>
    <col min="14579" max="14579" width="18" style="17" customWidth="1"/>
    <col min="14580" max="14580" width="20.85546875" style="17" bestFit="1" customWidth="1"/>
    <col min="14581" max="14581" width="17.42578125" style="17" customWidth="1"/>
    <col min="14582" max="14582" width="16.5703125" style="17" customWidth="1"/>
    <col min="14583" max="14583" width="20.42578125" style="17" customWidth="1"/>
    <col min="14584" max="14584" width="21.140625" style="17" customWidth="1"/>
    <col min="14585" max="14594" width="0" style="17" hidden="1" customWidth="1"/>
    <col min="14595" max="14595" width="19" style="17" customWidth="1"/>
    <col min="14596" max="14596" width="12" style="17" customWidth="1"/>
    <col min="14597" max="14599" width="9.140625" style="17"/>
    <col min="14600" max="14600" width="10.28515625" style="17" customWidth="1"/>
    <col min="14601" max="14831" width="9.140625" style="17"/>
    <col min="14832" max="14832" width="7.140625" style="17" customWidth="1"/>
    <col min="14833" max="14833" width="54.5703125" style="17" customWidth="1"/>
    <col min="14834" max="14834" width="19.85546875" style="17" customWidth="1"/>
    <col min="14835" max="14835" width="18" style="17" customWidth="1"/>
    <col min="14836" max="14836" width="20.85546875" style="17" bestFit="1" customWidth="1"/>
    <col min="14837" max="14837" width="17.42578125" style="17" customWidth="1"/>
    <col min="14838" max="14838" width="16.5703125" style="17" customWidth="1"/>
    <col min="14839" max="14839" width="20.42578125" style="17" customWidth="1"/>
    <col min="14840" max="14840" width="21.140625" style="17" customWidth="1"/>
    <col min="14841" max="14850" width="0" style="17" hidden="1" customWidth="1"/>
    <col min="14851" max="14851" width="19" style="17" customWidth="1"/>
    <col min="14852" max="14852" width="12" style="17" customWidth="1"/>
    <col min="14853" max="14855" width="9.140625" style="17"/>
    <col min="14856" max="14856" width="10.28515625" style="17" customWidth="1"/>
    <col min="14857" max="15087" width="9.140625" style="17"/>
    <col min="15088" max="15088" width="7.140625" style="17" customWidth="1"/>
    <col min="15089" max="15089" width="54.5703125" style="17" customWidth="1"/>
    <col min="15090" max="15090" width="19.85546875" style="17" customWidth="1"/>
    <col min="15091" max="15091" width="18" style="17" customWidth="1"/>
    <col min="15092" max="15092" width="20.85546875" style="17" bestFit="1" customWidth="1"/>
    <col min="15093" max="15093" width="17.42578125" style="17" customWidth="1"/>
    <col min="15094" max="15094" width="16.5703125" style="17" customWidth="1"/>
    <col min="15095" max="15095" width="20.42578125" style="17" customWidth="1"/>
    <col min="15096" max="15096" width="21.140625" style="17" customWidth="1"/>
    <col min="15097" max="15106" width="0" style="17" hidden="1" customWidth="1"/>
    <col min="15107" max="15107" width="19" style="17" customWidth="1"/>
    <col min="15108" max="15108" width="12" style="17" customWidth="1"/>
    <col min="15109" max="15111" width="9.140625" style="17"/>
    <col min="15112" max="15112" width="10.28515625" style="17" customWidth="1"/>
    <col min="15113" max="15343" width="9.140625" style="17"/>
    <col min="15344" max="15344" width="7.140625" style="17" customWidth="1"/>
    <col min="15345" max="15345" width="54.5703125" style="17" customWidth="1"/>
    <col min="15346" max="15346" width="19.85546875" style="17" customWidth="1"/>
    <col min="15347" max="15347" width="18" style="17" customWidth="1"/>
    <col min="15348" max="15348" width="20.85546875" style="17" bestFit="1" customWidth="1"/>
    <col min="15349" max="15349" width="17.42578125" style="17" customWidth="1"/>
    <col min="15350" max="15350" width="16.5703125" style="17" customWidth="1"/>
    <col min="15351" max="15351" width="20.42578125" style="17" customWidth="1"/>
    <col min="15352" max="15352" width="21.140625" style="17" customWidth="1"/>
    <col min="15353" max="15362" width="0" style="17" hidden="1" customWidth="1"/>
    <col min="15363" max="15363" width="19" style="17" customWidth="1"/>
    <col min="15364" max="15364" width="12" style="17" customWidth="1"/>
    <col min="15365" max="15367" width="9.140625" style="17"/>
    <col min="15368" max="15368" width="10.28515625" style="17" customWidth="1"/>
    <col min="15369" max="15599" width="9.140625" style="17"/>
    <col min="15600" max="15600" width="7.140625" style="17" customWidth="1"/>
    <col min="15601" max="15601" width="54.5703125" style="17" customWidth="1"/>
    <col min="15602" max="15602" width="19.85546875" style="17" customWidth="1"/>
    <col min="15603" max="15603" width="18" style="17" customWidth="1"/>
    <col min="15604" max="15604" width="20.85546875" style="17" bestFit="1" customWidth="1"/>
    <col min="15605" max="15605" width="17.42578125" style="17" customWidth="1"/>
    <col min="15606" max="15606" width="16.5703125" style="17" customWidth="1"/>
    <col min="15607" max="15607" width="20.42578125" style="17" customWidth="1"/>
    <col min="15608" max="15608" width="21.140625" style="17" customWidth="1"/>
    <col min="15609" max="15618" width="0" style="17" hidden="1" customWidth="1"/>
    <col min="15619" max="15619" width="19" style="17" customWidth="1"/>
    <col min="15620" max="15620" width="12" style="17" customWidth="1"/>
    <col min="15621" max="15623" width="9.140625" style="17"/>
    <col min="15624" max="15624" width="10.28515625" style="17" customWidth="1"/>
    <col min="15625" max="15855" width="9.140625" style="17"/>
    <col min="15856" max="15856" width="7.140625" style="17" customWidth="1"/>
    <col min="15857" max="15857" width="54.5703125" style="17" customWidth="1"/>
    <col min="15858" max="15858" width="19.85546875" style="17" customWidth="1"/>
    <col min="15859" max="15859" width="18" style="17" customWidth="1"/>
    <col min="15860" max="15860" width="20.85546875" style="17" bestFit="1" customWidth="1"/>
    <col min="15861" max="15861" width="17.42578125" style="17" customWidth="1"/>
    <col min="15862" max="15862" width="16.5703125" style="17" customWidth="1"/>
    <col min="15863" max="15863" width="20.42578125" style="17" customWidth="1"/>
    <col min="15864" max="15864" width="21.140625" style="17" customWidth="1"/>
    <col min="15865" max="15874" width="0" style="17" hidden="1" customWidth="1"/>
    <col min="15875" max="15875" width="19" style="17" customWidth="1"/>
    <col min="15876" max="15876" width="12" style="17" customWidth="1"/>
    <col min="15877" max="15879" width="9.140625" style="17"/>
    <col min="15880" max="15880" width="10.28515625" style="17" customWidth="1"/>
    <col min="15881" max="16111" width="9.140625" style="17"/>
    <col min="16112" max="16112" width="7.140625" style="17" customWidth="1"/>
    <col min="16113" max="16113" width="54.5703125" style="17" customWidth="1"/>
    <col min="16114" max="16114" width="19.85546875" style="17" customWidth="1"/>
    <col min="16115" max="16115" width="18" style="17" customWidth="1"/>
    <col min="16116" max="16116" width="20.85546875" style="17" bestFit="1" customWidth="1"/>
    <col min="16117" max="16117" width="17.42578125" style="17" customWidth="1"/>
    <col min="16118" max="16118" width="16.5703125" style="17" customWidth="1"/>
    <col min="16119" max="16119" width="20.42578125" style="17" customWidth="1"/>
    <col min="16120" max="16120" width="21.140625" style="17" customWidth="1"/>
    <col min="16121" max="16130" width="0" style="17" hidden="1" customWidth="1"/>
    <col min="16131" max="16131" width="19" style="17" customWidth="1"/>
    <col min="16132" max="16132" width="12" style="17" customWidth="1"/>
    <col min="16133" max="16135" width="9.140625" style="17"/>
    <col min="16136" max="16136" width="10.28515625" style="17" customWidth="1"/>
    <col min="16137" max="16384" width="9.140625" style="17"/>
  </cols>
  <sheetData>
    <row r="2" spans="1:17" ht="23.25" x14ac:dyDescent="0.35">
      <c r="C2" s="598" t="s">
        <v>21</v>
      </c>
      <c r="D2" s="598"/>
      <c r="E2" s="598"/>
      <c r="F2" s="598"/>
      <c r="G2" s="598"/>
      <c r="H2" s="598"/>
      <c r="I2" s="598"/>
      <c r="J2" s="598"/>
      <c r="K2" s="598"/>
      <c r="L2" s="598"/>
    </row>
    <row r="3" spans="1:17" ht="25.5" customHeight="1" x14ac:dyDescent="0.35">
      <c r="C3" s="598" t="s">
        <v>295</v>
      </c>
      <c r="D3" s="598"/>
      <c r="E3" s="598"/>
      <c r="F3" s="598"/>
      <c r="G3" s="598"/>
      <c r="H3" s="598"/>
      <c r="I3" s="598"/>
      <c r="J3" s="598"/>
      <c r="K3" s="598"/>
      <c r="L3" s="598"/>
    </row>
    <row r="4" spans="1:17" x14ac:dyDescent="0.25">
      <c r="C4" s="605"/>
      <c r="D4" s="605"/>
      <c r="E4" s="605"/>
      <c r="F4" s="605"/>
      <c r="G4" s="605"/>
      <c r="H4" s="605"/>
      <c r="I4" s="605"/>
      <c r="J4" s="605"/>
      <c r="K4" s="605"/>
      <c r="L4" s="605"/>
    </row>
    <row r="5" spans="1:17" ht="6.75" customHeight="1" thickBot="1" x14ac:dyDescent="0.3">
      <c r="C5" s="19"/>
      <c r="D5" s="20"/>
      <c r="E5" s="21"/>
      <c r="F5" s="22"/>
      <c r="G5" s="21"/>
    </row>
    <row r="6" spans="1:17" ht="54.75" thickBot="1" x14ac:dyDescent="0.3">
      <c r="C6" s="261" t="s">
        <v>145</v>
      </c>
      <c r="D6" s="262" t="s">
        <v>22</v>
      </c>
      <c r="E6" s="262" t="s">
        <v>23</v>
      </c>
      <c r="F6" s="262" t="s">
        <v>24</v>
      </c>
      <c r="G6" s="262" t="s">
        <v>109</v>
      </c>
      <c r="H6" s="262" t="s">
        <v>25</v>
      </c>
      <c r="I6" s="262" t="s">
        <v>26</v>
      </c>
      <c r="J6" s="262" t="s">
        <v>107</v>
      </c>
      <c r="K6" s="262" t="s">
        <v>27</v>
      </c>
      <c r="L6" s="263" t="s">
        <v>28</v>
      </c>
      <c r="P6" s="129" t="s">
        <v>24</v>
      </c>
    </row>
    <row r="7" spans="1:17" ht="24" customHeight="1" thickBot="1" x14ac:dyDescent="0.3">
      <c r="C7" s="602" t="s">
        <v>29</v>
      </c>
      <c r="D7" s="602"/>
      <c r="E7" s="602"/>
      <c r="F7" s="602"/>
      <c r="G7" s="602"/>
      <c r="H7" s="602"/>
      <c r="I7" s="602"/>
      <c r="J7" s="602"/>
      <c r="K7" s="602"/>
      <c r="L7" s="602"/>
      <c r="Q7" s="17">
        <v>2018</v>
      </c>
    </row>
    <row r="8" spans="1:17" ht="18.75" thickBot="1" x14ac:dyDescent="0.3">
      <c r="A8" s="23"/>
      <c r="B8" s="23"/>
      <c r="C8" s="177" t="s">
        <v>9</v>
      </c>
      <c r="D8" s="247">
        <f>70000*1.03</f>
        <v>72100</v>
      </c>
      <c r="E8" s="247">
        <v>100</v>
      </c>
      <c r="F8" s="247">
        <v>10000</v>
      </c>
      <c r="G8" s="247">
        <v>0</v>
      </c>
      <c r="H8" s="247">
        <f>M8-D8-E8-F8-G8-I8-J8-K8</f>
        <v>406688.75177892495</v>
      </c>
      <c r="I8" s="247">
        <v>26000</v>
      </c>
      <c r="J8" s="247">
        <v>2000</v>
      </c>
      <c r="K8" s="247">
        <v>3000</v>
      </c>
      <c r="L8" s="248">
        <f>SUM(D8:K8)</f>
        <v>519888.75177892495</v>
      </c>
      <c r="M8" s="109">
        <f>'ES CT Gas Table A'!I13</f>
        <v>519888.75177892495</v>
      </c>
      <c r="N8" s="109">
        <f t="shared" ref="N8:N13" si="0">M8-L8</f>
        <v>0</v>
      </c>
      <c r="P8" s="128">
        <v>2.6262419224533379E-4</v>
      </c>
      <c r="Q8" s="130">
        <v>-39.575102153641595</v>
      </c>
    </row>
    <row r="9" spans="1:17" ht="21.75" customHeight="1" thickBot="1" x14ac:dyDescent="0.3">
      <c r="A9" s="23"/>
      <c r="B9" s="23"/>
      <c r="C9" s="349" t="s">
        <v>275</v>
      </c>
      <c r="D9" s="247">
        <f>438204.23*1.03-200000-44000</f>
        <v>207350.35690000001</v>
      </c>
      <c r="E9" s="247">
        <v>500</v>
      </c>
      <c r="F9" s="247">
        <f>260000+3000+300000-200000-60000</f>
        <v>303000</v>
      </c>
      <c r="G9" s="247">
        <f>16000+8963</f>
        <v>24963</v>
      </c>
      <c r="H9" s="247">
        <f>M9-D9-E9-F9-G9-I9-J9-K9</f>
        <v>1094162.0293450402</v>
      </c>
      <c r="I9" s="247">
        <v>170000</v>
      </c>
      <c r="J9" s="247">
        <v>7000</v>
      </c>
      <c r="K9" s="247">
        <v>5000</v>
      </c>
      <c r="L9" s="248">
        <f>SUM(D9:K9)</f>
        <v>1811975.3862450402</v>
      </c>
      <c r="M9" s="109">
        <f>'ES CT Gas Table A'!I14</f>
        <v>1811975.3862450402</v>
      </c>
      <c r="N9" s="109">
        <f t="shared" si="0"/>
        <v>0</v>
      </c>
      <c r="P9" s="128">
        <v>8.7541397415111261E-3</v>
      </c>
      <c r="Q9" s="130">
        <v>-1319.1700717880531</v>
      </c>
    </row>
    <row r="10" spans="1:17" ht="23.25" customHeight="1" thickBot="1" x14ac:dyDescent="0.3">
      <c r="A10" s="23"/>
      <c r="B10" s="23"/>
      <c r="C10" s="349" t="s">
        <v>347</v>
      </c>
      <c r="D10" s="247">
        <f>76685.56*1.03</f>
        <v>78986.126799999998</v>
      </c>
      <c r="E10" s="247">
        <v>484</v>
      </c>
      <c r="F10" s="247">
        <f>240000+60000-54000</f>
        <v>246000</v>
      </c>
      <c r="G10" s="247">
        <v>0</v>
      </c>
      <c r="H10" s="247">
        <f>M10-D10-E10-F10-G10-I10-J10-K10</f>
        <v>3305659.7466730499</v>
      </c>
      <c r="I10" s="247">
        <f>4000+16000+100000</f>
        <v>120000</v>
      </c>
      <c r="J10" s="247">
        <v>100</v>
      </c>
      <c r="K10" s="247">
        <v>1000</v>
      </c>
      <c r="L10" s="248">
        <f>SUM(D10:K10)</f>
        <v>3752229.8734730501</v>
      </c>
      <c r="M10" s="109">
        <f>'ES CT Gas Table A'!I15</f>
        <v>3752229.8734730501</v>
      </c>
      <c r="N10" s="109">
        <f t="shared" si="0"/>
        <v>0</v>
      </c>
      <c r="P10" s="128">
        <v>2.6700126211608934E-3</v>
      </c>
      <c r="Q10" s="130">
        <v>-402.34687189535617</v>
      </c>
    </row>
    <row r="11" spans="1:17" ht="18.75" thickBot="1" x14ac:dyDescent="0.3">
      <c r="A11" s="23"/>
      <c r="B11" s="23"/>
      <c r="C11" s="177" t="s">
        <v>219</v>
      </c>
      <c r="D11" s="247">
        <f>442788.991956*1.03-80000</f>
        <v>376072.66171467997</v>
      </c>
      <c r="E11" s="247">
        <v>500</v>
      </c>
      <c r="F11" s="247">
        <f>80000+3000+30000</f>
        <v>113000</v>
      </c>
      <c r="G11" s="247">
        <f>25000+8964</f>
        <v>33964</v>
      </c>
      <c r="H11" s="247">
        <f>M11-D11-E11-F11-G11-I11-J11-K11</f>
        <v>2607737.5464709699</v>
      </c>
      <c r="I11" s="247">
        <f>150000+100000</f>
        <v>250000</v>
      </c>
      <c r="J11" s="247">
        <f>6000</f>
        <v>6000</v>
      </c>
      <c r="K11" s="247">
        <v>8000</v>
      </c>
      <c r="L11" s="265">
        <f>SUM(D11:K11)</f>
        <v>3395274.2081856499</v>
      </c>
      <c r="M11" s="109">
        <f>'ES CT Gas Table A'!I16</f>
        <v>3395274.2081856499</v>
      </c>
      <c r="N11" s="109">
        <f t="shared" si="0"/>
        <v>0</v>
      </c>
      <c r="P11" s="128">
        <v>8.9292225363413484E-4</v>
      </c>
      <c r="Q11" s="130">
        <v>-134.55534732238141</v>
      </c>
    </row>
    <row r="12" spans="1:17" ht="19.5" customHeight="1" thickBot="1" x14ac:dyDescent="0.3">
      <c r="A12" s="23"/>
      <c r="B12" s="23"/>
      <c r="C12" s="177" t="s">
        <v>124</v>
      </c>
      <c r="D12" s="247">
        <v>0</v>
      </c>
      <c r="E12" s="247">
        <v>0</v>
      </c>
      <c r="F12" s="247">
        <f>M12-D12-E12-G12-H12-I12-J12-K12</f>
        <v>10000</v>
      </c>
      <c r="G12" s="247">
        <v>0</v>
      </c>
      <c r="H12" s="247">
        <v>0</v>
      </c>
      <c r="I12" s="247">
        <v>0</v>
      </c>
      <c r="J12" s="247">
        <v>0</v>
      </c>
      <c r="K12" s="247">
        <v>0</v>
      </c>
      <c r="L12" s="265">
        <f>SUM(D12:K12)</f>
        <v>10000</v>
      </c>
      <c r="M12" s="109">
        <f>'ES CT Gas Table A'!I17</f>
        <v>10000</v>
      </c>
      <c r="N12" s="109">
        <f t="shared" si="0"/>
        <v>0</v>
      </c>
      <c r="P12" s="128">
        <v>2.1775982572866157E-2</v>
      </c>
      <c r="Q12" s="130">
        <v>-3281.4445898877739</v>
      </c>
    </row>
    <row r="13" spans="1:17" ht="24.75" customHeight="1" thickBot="1" x14ac:dyDescent="0.3">
      <c r="A13" s="24"/>
      <c r="B13" s="24"/>
      <c r="C13" s="451" t="s">
        <v>213</v>
      </c>
      <c r="D13" s="264">
        <f>SUM(D8:D12)</f>
        <v>734509.14541468001</v>
      </c>
      <c r="E13" s="264">
        <f t="shared" ref="E13:L13" si="1">SUM(E8:E12)</f>
        <v>1584</v>
      </c>
      <c r="F13" s="264">
        <f t="shared" si="1"/>
        <v>682000</v>
      </c>
      <c r="G13" s="264">
        <f t="shared" si="1"/>
        <v>58927</v>
      </c>
      <c r="H13" s="264">
        <f t="shared" si="1"/>
        <v>7414248.0742679853</v>
      </c>
      <c r="I13" s="264">
        <f t="shared" si="1"/>
        <v>566000</v>
      </c>
      <c r="J13" s="264">
        <f t="shared" si="1"/>
        <v>15100</v>
      </c>
      <c r="K13" s="264">
        <f t="shared" si="1"/>
        <v>17000</v>
      </c>
      <c r="L13" s="264">
        <f t="shared" si="1"/>
        <v>9489368.2196826655</v>
      </c>
      <c r="M13" s="109">
        <f>'ES CT Gas Table A'!I18</f>
        <v>9489368.2196826655</v>
      </c>
      <c r="N13" s="109">
        <f t="shared" si="0"/>
        <v>0</v>
      </c>
      <c r="Q13" s="130"/>
    </row>
    <row r="14" spans="1:17" ht="24" customHeight="1" thickBot="1" x14ac:dyDescent="0.3">
      <c r="A14" s="24"/>
      <c r="B14" s="24"/>
      <c r="C14" s="606" t="s">
        <v>101</v>
      </c>
      <c r="D14" s="606"/>
      <c r="E14" s="606"/>
      <c r="F14" s="606"/>
      <c r="G14" s="606"/>
      <c r="H14" s="606"/>
      <c r="I14" s="606"/>
      <c r="J14" s="606"/>
      <c r="K14" s="606"/>
      <c r="L14" s="606"/>
      <c r="Q14" s="130"/>
    </row>
    <row r="15" spans="1:17" ht="22.5" customHeight="1" thickBot="1" x14ac:dyDescent="0.3">
      <c r="A15" s="23"/>
      <c r="B15" s="23"/>
      <c r="C15" s="246" t="s">
        <v>30</v>
      </c>
      <c r="D15" s="247">
        <f>231695.579809185*1.03</f>
        <v>238646.44720346056</v>
      </c>
      <c r="E15" s="247">
        <v>500</v>
      </c>
      <c r="F15" s="247">
        <f>400000+50000</f>
        <v>450000</v>
      </c>
      <c r="G15" s="247">
        <f>22956</f>
        <v>22956</v>
      </c>
      <c r="H15" s="247">
        <f>M15-D15-E15-F15-G15-I15-J15-K15</f>
        <v>2989406.6537421192</v>
      </c>
      <c r="I15" s="247">
        <v>40000</v>
      </c>
      <c r="J15" s="247">
        <v>1000</v>
      </c>
      <c r="K15" s="247">
        <v>1000</v>
      </c>
      <c r="L15" s="248">
        <f>SUM(D15:K15)</f>
        <v>3743509.1009455798</v>
      </c>
      <c r="M15" s="109">
        <f>'ES CT Gas Table A'!I20</f>
        <v>3743509.1009455798</v>
      </c>
      <c r="N15" s="109">
        <f>M15-L15</f>
        <v>0</v>
      </c>
      <c r="P15" s="128">
        <v>2.6029121400422107E-3</v>
      </c>
      <c r="Q15" s="130">
        <v>-392.23543329510079</v>
      </c>
    </row>
    <row r="16" spans="1:17" ht="27" customHeight="1" x14ac:dyDescent="0.25">
      <c r="A16" s="23"/>
      <c r="B16" s="23"/>
      <c r="C16" s="249" t="s">
        <v>31</v>
      </c>
      <c r="D16" s="242">
        <f>675668.67*1.03-300000</f>
        <v>395938.73010000004</v>
      </c>
      <c r="E16" s="242">
        <v>500</v>
      </c>
      <c r="F16" s="242">
        <f>69538+15000+50000</f>
        <v>134538</v>
      </c>
      <c r="G16" s="242">
        <v>22320</v>
      </c>
      <c r="H16" s="242">
        <f>M16-D16-E16-F16-G16-I16-J16-K16</f>
        <v>894192.32084557996</v>
      </c>
      <c r="I16" s="242">
        <v>42000</v>
      </c>
      <c r="J16" s="242">
        <v>6000</v>
      </c>
      <c r="K16" s="242">
        <v>2000</v>
      </c>
      <c r="L16" s="243">
        <f>SUM(D16:K16)</f>
        <v>1497489.05094558</v>
      </c>
      <c r="M16" s="109">
        <f>'ES CT Gas Table A'!I21</f>
        <v>1497489.05094558</v>
      </c>
      <c r="N16" s="109">
        <f>M16-L16</f>
        <v>0</v>
      </c>
      <c r="P16" s="128">
        <v>3.063948909528894E-3</v>
      </c>
      <c r="Q16" s="130">
        <v>-461.70952512581857</v>
      </c>
    </row>
    <row r="17" spans="1:17" ht="39" customHeight="1" thickBot="1" x14ac:dyDescent="0.3">
      <c r="A17" s="23"/>
      <c r="B17" s="23"/>
      <c r="C17" s="269" t="s">
        <v>276</v>
      </c>
      <c r="D17" s="245">
        <f>84458.97*1.03</f>
        <v>86992.739100000006</v>
      </c>
      <c r="E17" s="245">
        <v>100</v>
      </c>
      <c r="F17" s="245">
        <v>110000</v>
      </c>
      <c r="G17" s="245">
        <v>837</v>
      </c>
      <c r="H17" s="245">
        <f>M17-D17-E17-F17-G17-I17-J17-K17</f>
        <v>258021.97464376001</v>
      </c>
      <c r="I17" s="245">
        <v>16000</v>
      </c>
      <c r="J17" s="245">
        <v>1000</v>
      </c>
      <c r="K17" s="245">
        <v>1000</v>
      </c>
      <c r="L17" s="250">
        <f>SUM(D17:K17)</f>
        <v>473951.71374376002</v>
      </c>
      <c r="M17" s="109">
        <f>'ES CT Gas Table A'!I22</f>
        <v>473951.71374376002</v>
      </c>
      <c r="N17" s="109">
        <f>M17-L17</f>
        <v>0</v>
      </c>
      <c r="P17" s="128">
        <v>1.7508279483022253E-3</v>
      </c>
      <c r="Q17" s="130">
        <v>-263.83401435761061</v>
      </c>
    </row>
    <row r="18" spans="1:17" ht="24.75" customHeight="1" thickBot="1" x14ac:dyDescent="0.3">
      <c r="A18" s="24"/>
      <c r="B18" s="24"/>
      <c r="C18" s="251" t="s">
        <v>11</v>
      </c>
      <c r="D18" s="252">
        <f>59938.79*1.03</f>
        <v>61736.953700000005</v>
      </c>
      <c r="E18" s="252">
        <v>500</v>
      </c>
      <c r="F18" s="252">
        <f>8000+3000</f>
        <v>11000</v>
      </c>
      <c r="G18" s="252">
        <v>0</v>
      </c>
      <c r="H18" s="244">
        <f>M18-D18-E18-F18-J18-K18-G18-I18</f>
        <v>373709.66278411</v>
      </c>
      <c r="I18" s="252">
        <v>38000</v>
      </c>
      <c r="J18" s="252">
        <v>1000</v>
      </c>
      <c r="K18" s="252">
        <f>2000</f>
        <v>2000</v>
      </c>
      <c r="L18" s="252">
        <f>SUM(D18:K18)</f>
        <v>487946.61648411001</v>
      </c>
      <c r="M18" s="109">
        <f>'ES CT Gas Table A'!I23</f>
        <v>487946.61648411001</v>
      </c>
      <c r="N18" s="109">
        <f>M18-L18</f>
        <v>0</v>
      </c>
      <c r="P18" s="128">
        <v>3.0639489095288941E-4</v>
      </c>
      <c r="Q18" s="130">
        <v>-46.170952512581856</v>
      </c>
    </row>
    <row r="19" spans="1:17" ht="19.5" customHeight="1" thickBot="1" x14ac:dyDescent="0.3">
      <c r="A19" s="24"/>
      <c r="B19" s="24"/>
      <c r="C19" s="451" t="s">
        <v>227</v>
      </c>
      <c r="D19" s="264">
        <f>SUM(D15:D18)</f>
        <v>783314.87010346062</v>
      </c>
      <c r="E19" s="264">
        <f t="shared" ref="E19:L19" si="2">SUM(E15:E18)</f>
        <v>1600</v>
      </c>
      <c r="F19" s="264">
        <f t="shared" si="2"/>
        <v>705538</v>
      </c>
      <c r="G19" s="264">
        <f t="shared" si="2"/>
        <v>46113</v>
      </c>
      <c r="H19" s="264">
        <f t="shared" si="2"/>
        <v>4515330.6120155696</v>
      </c>
      <c r="I19" s="264">
        <f t="shared" si="2"/>
        <v>136000</v>
      </c>
      <c r="J19" s="264">
        <f t="shared" si="2"/>
        <v>9000</v>
      </c>
      <c r="K19" s="264">
        <f t="shared" si="2"/>
        <v>6000</v>
      </c>
      <c r="L19" s="264">
        <f t="shared" si="2"/>
        <v>6202896.4821190303</v>
      </c>
      <c r="M19" s="109">
        <f>'ES CT Gas Table A'!I24</f>
        <v>6202896.4821190303</v>
      </c>
      <c r="N19" s="109">
        <f>M19-L19</f>
        <v>0</v>
      </c>
      <c r="P19" s="128">
        <v>4.2079765270243867E-2</v>
      </c>
      <c r="Q19" s="130">
        <v>-6341.0419083383185</v>
      </c>
    </row>
    <row r="20" spans="1:17" ht="24" customHeight="1" thickBot="1" x14ac:dyDescent="0.3">
      <c r="A20" s="23"/>
      <c r="B20" s="23"/>
      <c r="C20" s="602" t="s">
        <v>200</v>
      </c>
      <c r="D20" s="602"/>
      <c r="E20" s="602"/>
      <c r="F20" s="602"/>
      <c r="G20" s="602"/>
      <c r="H20" s="602"/>
      <c r="I20" s="602"/>
      <c r="J20" s="602"/>
      <c r="K20" s="602"/>
      <c r="L20" s="602"/>
      <c r="Q20" s="130">
        <v>-1090966</v>
      </c>
    </row>
    <row r="21" spans="1:17" ht="18" x14ac:dyDescent="0.25">
      <c r="A21" s="24"/>
      <c r="B21" s="24"/>
      <c r="C21" s="253" t="s">
        <v>294</v>
      </c>
      <c r="D21" s="455">
        <f>6924</f>
        <v>6924</v>
      </c>
      <c r="E21" s="455">
        <v>0</v>
      </c>
      <c r="F21" s="455">
        <f>M21-D21-E21-G21-H21-I21-J21-K21</f>
        <v>65583.67</v>
      </c>
      <c r="G21" s="455">
        <v>0</v>
      </c>
      <c r="H21" s="455">
        <v>0</v>
      </c>
      <c r="I21" s="455">
        <v>4159</v>
      </c>
      <c r="J21" s="455">
        <f>0</f>
        <v>0</v>
      </c>
      <c r="K21" s="455">
        <f>0</f>
        <v>0</v>
      </c>
      <c r="L21" s="254">
        <f>SUM(D21:K21)</f>
        <v>76666.67</v>
      </c>
      <c r="M21" s="109">
        <f>'ES CT Gas Table A'!I26</f>
        <v>76666.67</v>
      </c>
      <c r="N21" s="109">
        <f>M21-L21</f>
        <v>0</v>
      </c>
    </row>
    <row r="22" spans="1:17" ht="21.75" customHeight="1" x14ac:dyDescent="0.25">
      <c r="A22" s="24"/>
      <c r="B22" s="24"/>
      <c r="C22" s="255" t="s">
        <v>286</v>
      </c>
      <c r="D22" s="256">
        <f>6924</f>
        <v>6924</v>
      </c>
      <c r="E22" s="454">
        <v>0</v>
      </c>
      <c r="F22" s="454">
        <f>M22-D22-E22-G22-H22-I22-J22-K22</f>
        <v>75742.67</v>
      </c>
      <c r="G22" s="454">
        <v>0</v>
      </c>
      <c r="H22" s="454">
        <v>0</v>
      </c>
      <c r="I22" s="454">
        <v>0</v>
      </c>
      <c r="J22" s="454">
        <v>0</v>
      </c>
      <c r="K22" s="454">
        <v>0</v>
      </c>
      <c r="L22" s="256">
        <f>SUM(D22:K22)</f>
        <v>82666.67</v>
      </c>
      <c r="M22" s="109">
        <f>'ES CT Gas Table A'!I27</f>
        <v>82666.67</v>
      </c>
      <c r="N22" s="109">
        <f>M22-L22</f>
        <v>0</v>
      </c>
    </row>
    <row r="23" spans="1:17" ht="20.25" customHeight="1" x14ac:dyDescent="0.25">
      <c r="A23" s="24"/>
      <c r="B23" s="24"/>
      <c r="C23" s="257" t="s">
        <v>287</v>
      </c>
      <c r="D23" s="455">
        <f>4333</f>
        <v>4333</v>
      </c>
      <c r="E23" s="455">
        <v>0</v>
      </c>
      <c r="F23" s="455">
        <f>M23-D23-E23-G23-H23-I23-J23-K23</f>
        <v>67167</v>
      </c>
      <c r="G23" s="455">
        <v>0</v>
      </c>
      <c r="H23" s="455">
        <v>0</v>
      </c>
      <c r="I23" s="455">
        <f>2000+5000</f>
        <v>7000</v>
      </c>
      <c r="J23" s="455">
        <f>0</f>
        <v>0</v>
      </c>
      <c r="K23" s="455">
        <v>1500</v>
      </c>
      <c r="L23" s="258">
        <f>SUM(D23:K23)</f>
        <v>80000</v>
      </c>
      <c r="M23" s="109">
        <f>'ES CT Gas Table A'!I28</f>
        <v>80000</v>
      </c>
      <c r="N23" s="109">
        <f>M23-L23</f>
        <v>0</v>
      </c>
    </row>
    <row r="24" spans="1:17" ht="18.75" thickBot="1" x14ac:dyDescent="0.3">
      <c r="A24" s="24"/>
      <c r="B24" s="24"/>
      <c r="C24" s="259" t="s">
        <v>288</v>
      </c>
      <c r="D24" s="454">
        <f>11000</f>
        <v>11000</v>
      </c>
      <c r="E24" s="454">
        <v>0</v>
      </c>
      <c r="F24" s="454">
        <f>M24-D24-E24-G24-H24-I24-J24-K24</f>
        <v>59000</v>
      </c>
      <c r="G24" s="454">
        <f>0</f>
        <v>0</v>
      </c>
      <c r="H24" s="454">
        <v>0</v>
      </c>
      <c r="I24" s="454">
        <v>0</v>
      </c>
      <c r="J24" s="454">
        <v>0</v>
      </c>
      <c r="K24" s="454">
        <v>0</v>
      </c>
      <c r="L24" s="260">
        <f>SUM(D24:K24)</f>
        <v>70000</v>
      </c>
      <c r="M24" s="109">
        <f>'ES CT Gas Table A'!I29</f>
        <v>70000</v>
      </c>
      <c r="N24" s="109">
        <f>M24-L24</f>
        <v>0</v>
      </c>
    </row>
    <row r="25" spans="1:17" ht="22.5" customHeight="1" thickBot="1" x14ac:dyDescent="0.3">
      <c r="A25" s="24"/>
      <c r="B25" s="24"/>
      <c r="C25" s="451" t="s">
        <v>228</v>
      </c>
      <c r="D25" s="264">
        <f t="shared" ref="D25:L25" si="3">SUM(D21:D24)</f>
        <v>29181</v>
      </c>
      <c r="E25" s="264">
        <f t="shared" si="3"/>
        <v>0</v>
      </c>
      <c r="F25" s="264">
        <f t="shared" si="3"/>
        <v>267493.33999999997</v>
      </c>
      <c r="G25" s="264">
        <f t="shared" si="3"/>
        <v>0</v>
      </c>
      <c r="H25" s="264">
        <f t="shared" si="3"/>
        <v>0</v>
      </c>
      <c r="I25" s="264">
        <f t="shared" si="3"/>
        <v>11159</v>
      </c>
      <c r="J25" s="264">
        <f t="shared" si="3"/>
        <v>0</v>
      </c>
      <c r="K25" s="264">
        <f t="shared" si="3"/>
        <v>1500</v>
      </c>
      <c r="L25" s="264">
        <f t="shared" si="3"/>
        <v>309333.33999999997</v>
      </c>
      <c r="M25" s="109">
        <f>'ES CT Gas Table A'!I30</f>
        <v>309333.33999999997</v>
      </c>
      <c r="N25" s="109">
        <f>M25-L25</f>
        <v>0</v>
      </c>
    </row>
    <row r="26" spans="1:17" s="25" customFormat="1" ht="24" customHeight="1" thickBot="1" x14ac:dyDescent="0.3">
      <c r="A26" s="24"/>
      <c r="B26" s="24"/>
      <c r="C26" s="603" t="s">
        <v>32</v>
      </c>
      <c r="D26" s="603"/>
      <c r="E26" s="603"/>
      <c r="F26" s="603"/>
      <c r="G26" s="603"/>
      <c r="H26" s="603"/>
      <c r="I26" s="603"/>
      <c r="J26" s="603"/>
      <c r="K26" s="603"/>
      <c r="L26" s="603"/>
    </row>
    <row r="27" spans="1:17" ht="36.75" thickBot="1" x14ac:dyDescent="0.3">
      <c r="A27" s="24"/>
      <c r="B27" s="24"/>
      <c r="C27" s="239" t="s">
        <v>220</v>
      </c>
      <c r="D27" s="247">
        <v>0</v>
      </c>
      <c r="E27" s="273">
        <v>0</v>
      </c>
      <c r="F27" s="252">
        <v>0</v>
      </c>
      <c r="G27" s="273">
        <v>0</v>
      </c>
      <c r="H27" s="273">
        <v>0</v>
      </c>
      <c r="I27" s="273">
        <v>0</v>
      </c>
      <c r="J27" s="274">
        <f>M27-D27-E27-G27-H27-I27-F27-K27</f>
        <v>84522.893307485996</v>
      </c>
      <c r="K27" s="273">
        <v>0</v>
      </c>
      <c r="L27" s="271">
        <f>SUM(D27:K27)</f>
        <v>84522.893307485996</v>
      </c>
      <c r="M27" s="109">
        <f>'ES CT Gas Table A'!I32</f>
        <v>84522.893307485996</v>
      </c>
      <c r="N27" s="109">
        <f>M27-L27</f>
        <v>0</v>
      </c>
    </row>
    <row r="28" spans="1:17" ht="21.75" customHeight="1" thickBot="1" x14ac:dyDescent="0.3">
      <c r="A28" s="24"/>
      <c r="B28" s="24"/>
      <c r="C28" s="186" t="s">
        <v>121</v>
      </c>
      <c r="D28" s="247">
        <v>0</v>
      </c>
      <c r="E28" s="273">
        <v>0</v>
      </c>
      <c r="F28" s="252">
        <v>0</v>
      </c>
      <c r="G28" s="273">
        <v>0</v>
      </c>
      <c r="H28" s="273">
        <v>0</v>
      </c>
      <c r="I28" s="273">
        <v>0</v>
      </c>
      <c r="J28" s="274">
        <f>M28-D28-E28-G28-H28-I28-F28-K28</f>
        <v>93905.470565267999</v>
      </c>
      <c r="K28" s="273">
        <v>0</v>
      </c>
      <c r="L28" s="271">
        <f>SUM(D28:K28)</f>
        <v>93905.470565267999</v>
      </c>
      <c r="M28" s="109">
        <f>'ES CT Gas Table A'!I33</f>
        <v>93905.470565267999</v>
      </c>
      <c r="N28" s="109">
        <f>M28-L28</f>
        <v>0</v>
      </c>
    </row>
    <row r="29" spans="1:17" ht="21.75" customHeight="1" thickBot="1" x14ac:dyDescent="0.3">
      <c r="A29" s="24"/>
      <c r="B29" s="24"/>
      <c r="C29" s="275" t="s">
        <v>43</v>
      </c>
      <c r="D29" s="247">
        <f>14420*1.03</f>
        <v>14852.6</v>
      </c>
      <c r="E29" s="273">
        <v>0</v>
      </c>
      <c r="F29" s="252">
        <f>M29-D29-E29-G29-H29-I29-J29-K29</f>
        <v>35147.500660389298</v>
      </c>
      <c r="G29" s="273">
        <v>0</v>
      </c>
      <c r="H29" s="273">
        <v>0</v>
      </c>
      <c r="I29" s="273">
        <v>0</v>
      </c>
      <c r="J29" s="273">
        <v>0</v>
      </c>
      <c r="K29" s="273">
        <v>0</v>
      </c>
      <c r="L29" s="271">
        <f>SUM(D29:K29)</f>
        <v>50000.100660389297</v>
      </c>
      <c r="M29" s="109">
        <f>'ES CT Gas Table A'!I34</f>
        <v>50000.100660389297</v>
      </c>
      <c r="N29" s="109">
        <f>M29-L29</f>
        <v>0</v>
      </c>
    </row>
    <row r="30" spans="1:17" s="25" customFormat="1" ht="22.5" customHeight="1" thickBot="1" x14ac:dyDescent="0.3">
      <c r="A30" s="24"/>
      <c r="B30" s="24"/>
      <c r="C30" s="451" t="s">
        <v>229</v>
      </c>
      <c r="D30" s="264">
        <f t="shared" ref="D30:L30" si="4">SUM(D27:D29)</f>
        <v>14852.6</v>
      </c>
      <c r="E30" s="264">
        <f t="shared" si="4"/>
        <v>0</v>
      </c>
      <c r="F30" s="264">
        <f t="shared" si="4"/>
        <v>35147.500660389298</v>
      </c>
      <c r="G30" s="264">
        <f t="shared" si="4"/>
        <v>0</v>
      </c>
      <c r="H30" s="264">
        <f t="shared" si="4"/>
        <v>0</v>
      </c>
      <c r="I30" s="264">
        <f t="shared" si="4"/>
        <v>0</v>
      </c>
      <c r="J30" s="264">
        <f t="shared" si="4"/>
        <v>178428.36387275398</v>
      </c>
      <c r="K30" s="264">
        <f t="shared" si="4"/>
        <v>0</v>
      </c>
      <c r="L30" s="264">
        <f t="shared" si="4"/>
        <v>228428.46453314327</v>
      </c>
      <c r="M30" s="109">
        <f>'ES CT Gas Table A'!I35</f>
        <v>228428.46453314327</v>
      </c>
      <c r="N30" s="109">
        <f>M30-L30</f>
        <v>0</v>
      </c>
    </row>
    <row r="31" spans="1:17" ht="24" customHeight="1" thickBot="1" x14ac:dyDescent="0.3">
      <c r="A31" s="24"/>
      <c r="B31" s="24"/>
      <c r="C31" s="603" t="s">
        <v>33</v>
      </c>
      <c r="D31" s="603"/>
      <c r="E31" s="603"/>
      <c r="F31" s="603"/>
      <c r="G31" s="603"/>
      <c r="H31" s="603"/>
      <c r="I31" s="603"/>
      <c r="J31" s="603"/>
      <c r="K31" s="603"/>
      <c r="L31" s="603"/>
    </row>
    <row r="32" spans="1:17" ht="18.75" thickBot="1" x14ac:dyDescent="0.3">
      <c r="A32" s="24"/>
      <c r="B32" s="24"/>
      <c r="C32" s="181" t="s">
        <v>13</v>
      </c>
      <c r="D32" s="276">
        <f>75750*1.03+40000</f>
        <v>118022.5</v>
      </c>
      <c r="E32" s="276">
        <v>0</v>
      </c>
      <c r="F32" s="276">
        <f>M32-D32-E32-G32-H32-I32-J32-K32</f>
        <v>14910.316697186994</v>
      </c>
      <c r="G32" s="276">
        <f>15000</f>
        <v>15000</v>
      </c>
      <c r="H32" s="276">
        <v>0</v>
      </c>
      <c r="I32" s="276">
        <v>0</v>
      </c>
      <c r="J32" s="276">
        <f>2000</f>
        <v>2000</v>
      </c>
      <c r="K32" s="276">
        <f>1000</f>
        <v>1000</v>
      </c>
      <c r="L32" s="248">
        <f>SUM(D32:K32)</f>
        <v>150932.81669718699</v>
      </c>
      <c r="M32" s="109">
        <f>'ES CT Gas Table A'!I37</f>
        <v>150932.81669718699</v>
      </c>
      <c r="N32" s="109">
        <f t="shared" ref="N32:N41" si="5">M32-L32</f>
        <v>0</v>
      </c>
    </row>
    <row r="33" spans="1:18" ht="18.75" thickBot="1" x14ac:dyDescent="0.3">
      <c r="A33" s="24"/>
      <c r="B33" s="24"/>
      <c r="C33" s="181" t="s">
        <v>14</v>
      </c>
      <c r="D33" s="276">
        <v>0</v>
      </c>
      <c r="E33" s="276">
        <v>0</v>
      </c>
      <c r="F33" s="276">
        <v>0</v>
      </c>
      <c r="G33" s="276">
        <v>0</v>
      </c>
      <c r="H33" s="276">
        <v>0</v>
      </c>
      <c r="I33" s="276">
        <f>M33-D33-E33-F33-G33-H33-J33-K33</f>
        <v>40100.498656621698</v>
      </c>
      <c r="J33" s="276">
        <v>0</v>
      </c>
      <c r="K33" s="276">
        <v>0</v>
      </c>
      <c r="L33" s="248">
        <f t="shared" ref="L33:L39" si="6">SUM(D33:K33)</f>
        <v>40100.498656621698</v>
      </c>
      <c r="M33" s="109">
        <f>'ES CT Gas Table A'!I38</f>
        <v>40100.498656621698</v>
      </c>
      <c r="N33" s="109">
        <f t="shared" si="5"/>
        <v>0</v>
      </c>
    </row>
    <row r="34" spans="1:18" ht="19.5" customHeight="1" thickBot="1" x14ac:dyDescent="0.3">
      <c r="A34" s="24"/>
      <c r="B34" s="24"/>
      <c r="C34" s="181" t="s">
        <v>16</v>
      </c>
      <c r="D34" s="276">
        <f>73991.3*1.03-20000</f>
        <v>56211.039000000004</v>
      </c>
      <c r="E34" s="276">
        <v>0</v>
      </c>
      <c r="F34" s="276">
        <f>20000</f>
        <v>20000</v>
      </c>
      <c r="G34" s="276">
        <f>M34-D34-E34-F34-H34-I34-J34-K34</f>
        <v>2947.2629811679944</v>
      </c>
      <c r="H34" s="276">
        <v>0</v>
      </c>
      <c r="I34" s="276">
        <v>0</v>
      </c>
      <c r="J34" s="276">
        <v>0</v>
      </c>
      <c r="K34" s="276">
        <v>0</v>
      </c>
      <c r="L34" s="248">
        <f t="shared" si="6"/>
        <v>79158.301981167999</v>
      </c>
      <c r="M34" s="109">
        <f>'ES CT Gas Table A'!I39</f>
        <v>79158.301981167999</v>
      </c>
      <c r="N34" s="109">
        <f t="shared" si="5"/>
        <v>0</v>
      </c>
    </row>
    <row r="35" spans="1:18" s="18" customFormat="1" ht="20.25" customHeight="1" thickBot="1" x14ac:dyDescent="0.3">
      <c r="A35" s="23"/>
      <c r="B35" s="23"/>
      <c r="C35" s="240" t="s">
        <v>150</v>
      </c>
      <c r="D35" s="276">
        <v>0</v>
      </c>
      <c r="E35" s="276">
        <v>0</v>
      </c>
      <c r="F35" s="276">
        <f t="shared" ref="F35:F39" si="7">M35-D35-E35-G35-H35-I35-J35-K35</f>
        <v>300000</v>
      </c>
      <c r="G35" s="276">
        <v>0</v>
      </c>
      <c r="H35" s="276">
        <v>0</v>
      </c>
      <c r="I35" s="276">
        <v>0</v>
      </c>
      <c r="J35" s="276">
        <v>0</v>
      </c>
      <c r="K35" s="276">
        <v>0</v>
      </c>
      <c r="L35" s="248">
        <f t="shared" si="6"/>
        <v>300000</v>
      </c>
      <c r="M35" s="109">
        <f>'ES CT Gas Table A'!I40</f>
        <v>300000</v>
      </c>
      <c r="N35" s="109">
        <f t="shared" si="5"/>
        <v>0</v>
      </c>
    </row>
    <row r="36" spans="1:18" s="18" customFormat="1" ht="18.75" customHeight="1" thickBot="1" x14ac:dyDescent="0.3">
      <c r="A36" s="23"/>
      <c r="B36" s="23"/>
      <c r="C36" s="240" t="s">
        <v>147</v>
      </c>
      <c r="D36" s="276">
        <v>0</v>
      </c>
      <c r="E36" s="276">
        <v>0</v>
      </c>
      <c r="F36" s="276">
        <f t="shared" si="7"/>
        <v>29607</v>
      </c>
      <c r="G36" s="276">
        <v>0</v>
      </c>
      <c r="H36" s="276">
        <v>0</v>
      </c>
      <c r="I36" s="276">
        <v>0</v>
      </c>
      <c r="J36" s="276">
        <v>0</v>
      </c>
      <c r="K36" s="276">
        <v>0</v>
      </c>
      <c r="L36" s="248">
        <f t="shared" si="6"/>
        <v>29607</v>
      </c>
      <c r="M36" s="109">
        <f>'ES CT Gas Table A'!I41</f>
        <v>29607</v>
      </c>
      <c r="N36" s="109">
        <f t="shared" si="5"/>
        <v>0</v>
      </c>
    </row>
    <row r="37" spans="1:18" ht="19.5" customHeight="1" thickBot="1" x14ac:dyDescent="0.3">
      <c r="A37" s="24"/>
      <c r="B37" s="24"/>
      <c r="C37" s="181" t="s">
        <v>15</v>
      </c>
      <c r="D37" s="276">
        <f>25841.7182283183*1.03</f>
        <v>26616.96977516785</v>
      </c>
      <c r="E37" s="276">
        <v>0</v>
      </c>
      <c r="F37" s="276">
        <f t="shared" si="7"/>
        <v>88775.900413575146</v>
      </c>
      <c r="G37" s="276">
        <f>10333+15000</f>
        <v>25333</v>
      </c>
      <c r="H37" s="276">
        <v>0</v>
      </c>
      <c r="I37" s="276">
        <v>0</v>
      </c>
      <c r="J37" s="276">
        <v>0</v>
      </c>
      <c r="K37" s="276">
        <v>0</v>
      </c>
      <c r="L37" s="248">
        <f>SUM(D37:K37)</f>
        <v>140725.87018874299</v>
      </c>
      <c r="M37" s="109">
        <f>'ES CT Gas Table A'!I42</f>
        <v>140725.87018874299</v>
      </c>
      <c r="N37" s="109">
        <f t="shared" si="5"/>
        <v>0</v>
      </c>
    </row>
    <row r="38" spans="1:18" ht="21.75" customHeight="1" thickBot="1" x14ac:dyDescent="0.3">
      <c r="A38" s="23"/>
      <c r="B38" s="23"/>
      <c r="C38" s="181" t="s">
        <v>148</v>
      </c>
      <c r="D38" s="276">
        <v>0</v>
      </c>
      <c r="E38" s="276">
        <v>0</v>
      </c>
      <c r="F38" s="276">
        <f t="shared" si="7"/>
        <v>53333</v>
      </c>
      <c r="G38" s="276">
        <v>0</v>
      </c>
      <c r="H38" s="276">
        <v>0</v>
      </c>
      <c r="I38" s="276">
        <v>0</v>
      </c>
      <c r="J38" s="276">
        <v>0</v>
      </c>
      <c r="K38" s="276">
        <v>0</v>
      </c>
      <c r="L38" s="248">
        <f t="shared" si="6"/>
        <v>53333</v>
      </c>
      <c r="M38" s="109">
        <f>'ES CT Gas Table A'!I43</f>
        <v>53333</v>
      </c>
      <c r="N38" s="109">
        <f t="shared" si="5"/>
        <v>0</v>
      </c>
    </row>
    <row r="39" spans="1:18" ht="22.5" customHeight="1" thickBot="1" x14ac:dyDescent="0.3">
      <c r="A39" s="23"/>
      <c r="B39" s="23"/>
      <c r="C39" s="181" t="s">
        <v>151</v>
      </c>
      <c r="D39" s="276">
        <v>0</v>
      </c>
      <c r="E39" s="276">
        <v>0</v>
      </c>
      <c r="F39" s="276">
        <f t="shared" si="7"/>
        <v>10000</v>
      </c>
      <c r="G39" s="276">
        <v>0</v>
      </c>
      <c r="H39" s="276">
        <v>0</v>
      </c>
      <c r="I39" s="276">
        <v>0</v>
      </c>
      <c r="J39" s="276">
        <v>0</v>
      </c>
      <c r="K39" s="276">
        <v>0</v>
      </c>
      <c r="L39" s="248">
        <f t="shared" si="6"/>
        <v>10000</v>
      </c>
      <c r="M39" s="109">
        <f>'ES CT Gas Table A'!I44</f>
        <v>10000</v>
      </c>
      <c r="N39" s="109">
        <f t="shared" si="5"/>
        <v>0</v>
      </c>
    </row>
    <row r="40" spans="1:18" ht="23.25" customHeight="1" thickBot="1" x14ac:dyDescent="0.3">
      <c r="A40" s="23"/>
      <c r="B40" s="23"/>
      <c r="C40" s="181" t="s">
        <v>149</v>
      </c>
      <c r="D40" s="276">
        <v>0</v>
      </c>
      <c r="E40" s="276">
        <v>0</v>
      </c>
      <c r="F40" s="276">
        <v>0</v>
      </c>
      <c r="G40" s="276">
        <v>0</v>
      </c>
      <c r="H40" s="276">
        <v>0</v>
      </c>
      <c r="I40" s="276">
        <v>0</v>
      </c>
      <c r="J40" s="276">
        <f>M40</f>
        <v>847047</v>
      </c>
      <c r="K40" s="276">
        <v>0</v>
      </c>
      <c r="L40" s="248">
        <f>SUM(D40:K40)</f>
        <v>847047</v>
      </c>
      <c r="M40" s="109">
        <f>'ES CT Gas Table A'!I45</f>
        <v>847047</v>
      </c>
      <c r="N40" s="109">
        <f t="shared" si="5"/>
        <v>0</v>
      </c>
    </row>
    <row r="41" spans="1:18" ht="21.75" customHeight="1" thickBot="1" x14ac:dyDescent="0.3">
      <c r="A41" s="23"/>
      <c r="B41" s="23"/>
      <c r="C41" s="451" t="s">
        <v>34</v>
      </c>
      <c r="D41" s="277">
        <f t="shared" ref="D41:L41" si="8">SUM(D32:D40)</f>
        <v>200850.50877516784</v>
      </c>
      <c r="E41" s="267">
        <f t="shared" si="8"/>
        <v>0</v>
      </c>
      <c r="F41" s="267">
        <f t="shared" si="8"/>
        <v>516626.21711076214</v>
      </c>
      <c r="G41" s="267">
        <f t="shared" si="8"/>
        <v>43280.262981167994</v>
      </c>
      <c r="H41" s="267">
        <f t="shared" si="8"/>
        <v>0</v>
      </c>
      <c r="I41" s="267">
        <f t="shared" si="8"/>
        <v>40100.498656621698</v>
      </c>
      <c r="J41" s="267">
        <f t="shared" si="8"/>
        <v>849047</v>
      </c>
      <c r="K41" s="267">
        <f t="shared" si="8"/>
        <v>1000</v>
      </c>
      <c r="L41" s="267">
        <f t="shared" si="8"/>
        <v>1650904.4875237197</v>
      </c>
      <c r="M41" s="109">
        <f>'ES CT Gas Table A'!I46</f>
        <v>1650904.4875237197</v>
      </c>
      <c r="N41" s="109">
        <f t="shared" si="5"/>
        <v>0</v>
      </c>
    </row>
    <row r="42" spans="1:18" ht="16.5" hidden="1" customHeight="1" thickBot="1" x14ac:dyDescent="0.3">
      <c r="A42" s="23"/>
      <c r="B42" s="23"/>
      <c r="C42" s="604" t="s">
        <v>35</v>
      </c>
      <c r="D42" s="604"/>
      <c r="E42" s="604"/>
      <c r="F42" s="604"/>
      <c r="G42" s="604"/>
      <c r="H42" s="604"/>
      <c r="I42" s="604"/>
      <c r="J42" s="604"/>
      <c r="K42" s="604"/>
      <c r="L42" s="604"/>
    </row>
    <row r="43" spans="1:18" ht="16.5" hidden="1" customHeight="1" thickBot="1" x14ac:dyDescent="0.3">
      <c r="A43" s="23"/>
      <c r="B43" s="23"/>
      <c r="C43" s="278" t="s">
        <v>6</v>
      </c>
      <c r="D43" s="279">
        <f>D13+D21*0.8+D23*0.5+D22*0.5+D27+D33*0.8+D24*0.8</f>
        <v>754476.84541467996</v>
      </c>
      <c r="E43" s="279">
        <f t="shared" ref="E43:L43" si="9">E13+E21*0.8+E23*0.5+E22*0.5+E27+E33*0.8+E24*0.8</f>
        <v>1584</v>
      </c>
      <c r="F43" s="279">
        <f t="shared" si="9"/>
        <v>853121.77099999995</v>
      </c>
      <c r="G43" s="279">
        <f t="shared" si="9"/>
        <v>58927</v>
      </c>
      <c r="H43" s="279">
        <f t="shared" si="9"/>
        <v>7414248.0742679853</v>
      </c>
      <c r="I43" s="279">
        <f t="shared" si="9"/>
        <v>604907.59892529726</v>
      </c>
      <c r="J43" s="279">
        <f t="shared" si="9"/>
        <v>99622.893307485996</v>
      </c>
      <c r="K43" s="279">
        <f t="shared" si="9"/>
        <v>17750</v>
      </c>
      <c r="L43" s="279">
        <f t="shared" si="9"/>
        <v>9804638.1829154491</v>
      </c>
      <c r="M43" s="109">
        <f>'ES CT Gas Table A'!I47</f>
        <v>9804638.1829154491</v>
      </c>
      <c r="N43" s="109">
        <f>M43-L43</f>
        <v>0</v>
      </c>
    </row>
    <row r="44" spans="1:18" ht="16.5" hidden="1" customHeight="1" thickBot="1" x14ac:dyDescent="0.3">
      <c r="C44" s="278" t="s">
        <v>7</v>
      </c>
      <c r="D44" s="279">
        <f>D19+D21*0.2+D23*0.5+D22*0.5+D24*0.2+D28+D33*0.2</f>
        <v>792528.17010346067</v>
      </c>
      <c r="E44" s="279">
        <f t="shared" ref="E44:L44" si="10">E19+E21*0.2+E23*0.5+E22*0.5+E24*0.2+E28+E33*0.2</f>
        <v>1600</v>
      </c>
      <c r="F44" s="279">
        <f t="shared" si="10"/>
        <v>801909.56900000002</v>
      </c>
      <c r="G44" s="279">
        <f t="shared" si="10"/>
        <v>46113</v>
      </c>
      <c r="H44" s="279">
        <f t="shared" si="10"/>
        <v>4515330.6120155696</v>
      </c>
      <c r="I44" s="279">
        <f t="shared" si="10"/>
        <v>148351.89973132432</v>
      </c>
      <c r="J44" s="279">
        <f t="shared" si="10"/>
        <v>102905.470565268</v>
      </c>
      <c r="K44" s="279">
        <f t="shared" si="10"/>
        <v>6750</v>
      </c>
      <c r="L44" s="279">
        <f t="shared" si="10"/>
        <v>6415488.7214156222</v>
      </c>
      <c r="M44" s="109">
        <f>'ES CT Gas Table A'!I48</f>
        <v>6415488.7214156222</v>
      </c>
      <c r="N44" s="109">
        <f>M44-L44</f>
        <v>0</v>
      </c>
    </row>
    <row r="45" spans="1:18" ht="16.5" hidden="1" customHeight="1" thickBot="1" x14ac:dyDescent="0.3">
      <c r="A45" s="27"/>
      <c r="B45" s="27"/>
      <c r="C45" s="278" t="s">
        <v>18</v>
      </c>
      <c r="D45" s="456">
        <f t="shared" ref="D45:K45" si="11">+D29+D32+SUM(D34:D40)</f>
        <v>215703.10877516784</v>
      </c>
      <c r="E45" s="279">
        <f t="shared" si="11"/>
        <v>0</v>
      </c>
      <c r="F45" s="279">
        <f t="shared" si="11"/>
        <v>551773.71777115145</v>
      </c>
      <c r="G45" s="279">
        <f t="shared" si="11"/>
        <v>43280.262981167994</v>
      </c>
      <c r="H45" s="279">
        <f t="shared" si="11"/>
        <v>0</v>
      </c>
      <c r="I45" s="279">
        <f t="shared" si="11"/>
        <v>0</v>
      </c>
      <c r="J45" s="279">
        <f t="shared" si="11"/>
        <v>849047</v>
      </c>
      <c r="K45" s="279">
        <f t="shared" si="11"/>
        <v>1000</v>
      </c>
      <c r="L45" s="279">
        <f>SUM(D45:K45)</f>
        <v>1660804.0895274873</v>
      </c>
      <c r="M45" s="109">
        <f>'ES CT Gas Table A'!I49</f>
        <v>1660804.0895274873</v>
      </c>
      <c r="N45" s="109">
        <f>M45-L45</f>
        <v>0</v>
      </c>
    </row>
    <row r="46" spans="1:18" ht="20.25" customHeight="1" thickBot="1" x14ac:dyDescent="0.3">
      <c r="A46" s="23"/>
      <c r="B46" s="23"/>
      <c r="C46" s="451" t="s">
        <v>36</v>
      </c>
      <c r="D46" s="268">
        <f t="shared" ref="D46:L46" si="12">SUM(D43:D45)</f>
        <v>1762708.1242933082</v>
      </c>
      <c r="E46" s="268">
        <f t="shared" si="12"/>
        <v>3184</v>
      </c>
      <c r="F46" s="268">
        <f t="shared" si="12"/>
        <v>2206805.0577711514</v>
      </c>
      <c r="G46" s="267">
        <f t="shared" si="12"/>
        <v>148320.26298116799</v>
      </c>
      <c r="H46" s="268">
        <f t="shared" si="12"/>
        <v>11929578.686283555</v>
      </c>
      <c r="I46" s="268">
        <f t="shared" si="12"/>
        <v>753259.49865662155</v>
      </c>
      <c r="J46" s="268">
        <f t="shared" si="12"/>
        <v>1051575.3638727539</v>
      </c>
      <c r="K46" s="268">
        <f t="shared" si="12"/>
        <v>25500</v>
      </c>
      <c r="L46" s="268">
        <f t="shared" si="12"/>
        <v>17880930.993858557</v>
      </c>
      <c r="M46" s="109">
        <f>'ES CT Gas Table A'!I50</f>
        <v>17880930.993858557</v>
      </c>
      <c r="N46" s="109">
        <f>M46-L46</f>
        <v>0</v>
      </c>
    </row>
    <row r="47" spans="1:18" s="106" customFormat="1" ht="18.75" x14ac:dyDescent="0.3">
      <c r="A47" s="107"/>
      <c r="B47" s="107"/>
      <c r="C47" s="281"/>
      <c r="D47" s="282"/>
      <c r="E47" s="283"/>
      <c r="F47" s="284">
        <f>F46-F35-F36</f>
        <v>1877198.0577711514</v>
      </c>
      <c r="G47" s="283"/>
      <c r="H47" s="285"/>
      <c r="I47" s="285"/>
      <c r="J47" s="285"/>
      <c r="K47" s="285"/>
      <c r="L47" s="286"/>
      <c r="M47" s="17"/>
      <c r="N47" s="17"/>
      <c r="O47" s="17"/>
      <c r="P47" s="17"/>
      <c r="Q47" s="17"/>
      <c r="R47" s="17"/>
    </row>
    <row r="48" spans="1:18" s="108" customFormat="1" ht="18.75" x14ac:dyDescent="0.3">
      <c r="C48" s="287" t="s">
        <v>5</v>
      </c>
      <c r="D48" s="288"/>
      <c r="E48" s="289"/>
      <c r="F48" s="289"/>
      <c r="G48" s="289"/>
      <c r="H48" s="289"/>
      <c r="I48" s="288"/>
      <c r="J48" s="452" t="s">
        <v>5</v>
      </c>
      <c r="K48" s="288"/>
      <c r="L48" s="288"/>
      <c r="M48" s="109">
        <f>M41+M30+M25+M19+M13</f>
        <v>17880930.993858561</v>
      </c>
    </row>
    <row r="49" spans="1:12" x14ac:dyDescent="0.25">
      <c r="A49" s="29"/>
      <c r="B49" s="29"/>
      <c r="C49" s="31"/>
    </row>
    <row r="50" spans="1:12" x14ac:dyDescent="0.25">
      <c r="A50" s="29"/>
      <c r="B50" s="29"/>
      <c r="C50" s="32"/>
      <c r="E50" s="28"/>
      <c r="G50" s="28"/>
    </row>
    <row r="51" spans="1:12" x14ac:dyDescent="0.25">
      <c r="C51" s="32"/>
    </row>
    <row r="52" spans="1:12" x14ac:dyDescent="0.25">
      <c r="C52" s="32"/>
    </row>
    <row r="53" spans="1:12" x14ac:dyDescent="0.25">
      <c r="C53" s="32"/>
    </row>
    <row r="54" spans="1:12" x14ac:dyDescent="0.25">
      <c r="C54" s="32"/>
    </row>
    <row r="55" spans="1:12" s="28" customFormat="1" x14ac:dyDescent="0.25">
      <c r="A55" s="17"/>
      <c r="B55" s="17"/>
      <c r="C55" s="32"/>
      <c r="E55" s="30"/>
      <c r="G55" s="30"/>
      <c r="H55" s="17"/>
      <c r="I55" s="17"/>
      <c r="J55" s="17"/>
      <c r="K55" s="17"/>
      <c r="L55" s="17"/>
    </row>
    <row r="56" spans="1:12" s="28" customFormat="1" x14ac:dyDescent="0.25">
      <c r="A56" s="17"/>
      <c r="B56" s="17"/>
      <c r="C56" s="32"/>
      <c r="E56" s="30"/>
      <c r="G56" s="30"/>
      <c r="H56" s="17"/>
      <c r="I56" s="17"/>
      <c r="J56" s="17"/>
      <c r="K56" s="17"/>
      <c r="L56" s="17"/>
    </row>
    <row r="57" spans="1:12" s="28" customFormat="1" x14ac:dyDescent="0.25">
      <c r="A57" s="17"/>
      <c r="B57" s="17"/>
      <c r="C57" s="32"/>
      <c r="E57" s="30"/>
      <c r="G57" s="30"/>
      <c r="H57" s="17"/>
      <c r="I57" s="17"/>
      <c r="J57" s="17"/>
      <c r="K57" s="17"/>
      <c r="L57" s="17"/>
    </row>
    <row r="58" spans="1:12" s="28" customFormat="1" x14ac:dyDescent="0.25">
      <c r="A58" s="17"/>
      <c r="B58" s="17"/>
      <c r="C58" s="32"/>
      <c r="E58" s="30"/>
      <c r="G58" s="30"/>
      <c r="H58" s="17"/>
      <c r="I58" s="17"/>
      <c r="J58" s="17"/>
      <c r="K58" s="17"/>
      <c r="L58" s="17"/>
    </row>
  </sheetData>
  <mergeCells count="9">
    <mergeCell ref="C26:L26"/>
    <mergeCell ref="C31:L31"/>
    <mergeCell ref="C42:L42"/>
    <mergeCell ref="C2:L2"/>
    <mergeCell ref="C3:L3"/>
    <mergeCell ref="C4:L4"/>
    <mergeCell ref="C7:L7"/>
    <mergeCell ref="C14:L14"/>
    <mergeCell ref="C20:L20"/>
  </mergeCells>
  <pageMargins left="0.7" right="0.7" top="0.75" bottom="0.75" header="0.3" footer="0.3"/>
  <pageSetup scale="53" orientation="landscape"/>
  <ignoredErrors>
    <ignoredError sqref="K45" formulaRange="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C67EC-8676-4032-BBFE-22FDB2081DCE}">
  <sheetPr>
    <tabColor rgb="FFFFC000"/>
  </sheetPr>
  <dimension ref="B2:G45"/>
  <sheetViews>
    <sheetView showGridLines="0" zoomScale="85" zoomScaleNormal="85" workbookViewId="0">
      <selection activeCell="B42" sqref="B42:E42"/>
    </sheetView>
  </sheetViews>
  <sheetFormatPr defaultRowHeight="12.75" x14ac:dyDescent="0.2"/>
  <cols>
    <col min="2" max="2" width="30.85546875" customWidth="1"/>
    <col min="3" max="3" width="16.5703125" bestFit="1" customWidth="1"/>
    <col min="4" max="4" width="3.140625" customWidth="1"/>
    <col min="5" max="5" width="11.5703125" customWidth="1"/>
    <col min="6" max="6" width="22.7109375" customWidth="1"/>
    <col min="7" max="7" width="19.140625" customWidth="1"/>
    <col min="258" max="258" width="22.7109375" customWidth="1"/>
    <col min="259" max="259" width="14.85546875" customWidth="1"/>
    <col min="260" max="260" width="10.7109375" customWidth="1"/>
    <col min="261" max="261" width="14.42578125" customWidth="1"/>
    <col min="262" max="262" width="22.7109375" customWidth="1"/>
    <col min="263" max="263" width="19.140625" customWidth="1"/>
    <col min="514" max="514" width="22.7109375" customWidth="1"/>
    <col min="515" max="515" width="14.85546875" customWidth="1"/>
    <col min="516" max="516" width="10.7109375" customWidth="1"/>
    <col min="517" max="517" width="14.42578125" customWidth="1"/>
    <col min="518" max="518" width="22.7109375" customWidth="1"/>
    <col min="519" max="519" width="19.140625" customWidth="1"/>
    <col min="770" max="770" width="22.7109375" customWidth="1"/>
    <col min="771" max="771" width="14.85546875" customWidth="1"/>
    <col min="772" max="772" width="10.7109375" customWidth="1"/>
    <col min="773" max="773" width="14.42578125" customWidth="1"/>
    <col min="774" max="774" width="22.7109375" customWidth="1"/>
    <col min="775" max="775" width="19.140625" customWidth="1"/>
    <col min="1026" max="1026" width="22.7109375" customWidth="1"/>
    <col min="1027" max="1027" width="14.85546875" customWidth="1"/>
    <col min="1028" max="1028" width="10.7109375" customWidth="1"/>
    <col min="1029" max="1029" width="14.42578125" customWidth="1"/>
    <col min="1030" max="1030" width="22.7109375" customWidth="1"/>
    <col min="1031" max="1031" width="19.140625" customWidth="1"/>
    <col min="1282" max="1282" width="22.7109375" customWidth="1"/>
    <col min="1283" max="1283" width="14.85546875" customWidth="1"/>
    <col min="1284" max="1284" width="10.7109375" customWidth="1"/>
    <col min="1285" max="1285" width="14.42578125" customWidth="1"/>
    <col min="1286" max="1286" width="22.7109375" customWidth="1"/>
    <col min="1287" max="1287" width="19.140625" customWidth="1"/>
    <col min="1538" max="1538" width="22.7109375" customWidth="1"/>
    <col min="1539" max="1539" width="14.85546875" customWidth="1"/>
    <col min="1540" max="1540" width="10.7109375" customWidth="1"/>
    <col min="1541" max="1541" width="14.42578125" customWidth="1"/>
    <col min="1542" max="1542" width="22.7109375" customWidth="1"/>
    <col min="1543" max="1543" width="19.140625" customWidth="1"/>
    <col min="1794" max="1794" width="22.7109375" customWidth="1"/>
    <col min="1795" max="1795" width="14.85546875" customWidth="1"/>
    <col min="1796" max="1796" width="10.7109375" customWidth="1"/>
    <col min="1797" max="1797" width="14.42578125" customWidth="1"/>
    <col min="1798" max="1798" width="22.7109375" customWidth="1"/>
    <col min="1799" max="1799" width="19.140625" customWidth="1"/>
    <col min="2050" max="2050" width="22.7109375" customWidth="1"/>
    <col min="2051" max="2051" width="14.85546875" customWidth="1"/>
    <col min="2052" max="2052" width="10.7109375" customWidth="1"/>
    <col min="2053" max="2053" width="14.42578125" customWidth="1"/>
    <col min="2054" max="2054" width="22.7109375" customWidth="1"/>
    <col min="2055" max="2055" width="19.140625" customWidth="1"/>
    <col min="2306" max="2306" width="22.7109375" customWidth="1"/>
    <col min="2307" max="2307" width="14.85546875" customWidth="1"/>
    <col min="2308" max="2308" width="10.7109375" customWidth="1"/>
    <col min="2309" max="2309" width="14.42578125" customWidth="1"/>
    <col min="2310" max="2310" width="22.7109375" customWidth="1"/>
    <col min="2311" max="2311" width="19.140625" customWidth="1"/>
    <col min="2562" max="2562" width="22.7109375" customWidth="1"/>
    <col min="2563" max="2563" width="14.85546875" customWidth="1"/>
    <col min="2564" max="2564" width="10.7109375" customWidth="1"/>
    <col min="2565" max="2565" width="14.42578125" customWidth="1"/>
    <col min="2566" max="2566" width="22.7109375" customWidth="1"/>
    <col min="2567" max="2567" width="19.140625" customWidth="1"/>
    <col min="2818" max="2818" width="22.7109375" customWidth="1"/>
    <col min="2819" max="2819" width="14.85546875" customWidth="1"/>
    <col min="2820" max="2820" width="10.7109375" customWidth="1"/>
    <col min="2821" max="2821" width="14.42578125" customWidth="1"/>
    <col min="2822" max="2822" width="22.7109375" customWidth="1"/>
    <col min="2823" max="2823" width="19.140625" customWidth="1"/>
    <col min="3074" max="3074" width="22.7109375" customWidth="1"/>
    <col min="3075" max="3075" width="14.85546875" customWidth="1"/>
    <col min="3076" max="3076" width="10.7109375" customWidth="1"/>
    <col min="3077" max="3077" width="14.42578125" customWidth="1"/>
    <col min="3078" max="3078" width="22.7109375" customWidth="1"/>
    <col min="3079" max="3079" width="19.140625" customWidth="1"/>
    <col min="3330" max="3330" width="22.7109375" customWidth="1"/>
    <col min="3331" max="3331" width="14.85546875" customWidth="1"/>
    <col min="3332" max="3332" width="10.7109375" customWidth="1"/>
    <col min="3333" max="3333" width="14.42578125" customWidth="1"/>
    <col min="3334" max="3334" width="22.7109375" customWidth="1"/>
    <col min="3335" max="3335" width="19.140625" customWidth="1"/>
    <col min="3586" max="3586" width="22.7109375" customWidth="1"/>
    <col min="3587" max="3587" width="14.85546875" customWidth="1"/>
    <col min="3588" max="3588" width="10.7109375" customWidth="1"/>
    <col min="3589" max="3589" width="14.42578125" customWidth="1"/>
    <col min="3590" max="3590" width="22.7109375" customWidth="1"/>
    <col min="3591" max="3591" width="19.140625" customWidth="1"/>
    <col min="3842" max="3842" width="22.7109375" customWidth="1"/>
    <col min="3843" max="3843" width="14.85546875" customWidth="1"/>
    <col min="3844" max="3844" width="10.7109375" customWidth="1"/>
    <col min="3845" max="3845" width="14.42578125" customWidth="1"/>
    <col min="3846" max="3846" width="22.7109375" customWidth="1"/>
    <col min="3847" max="3847" width="19.140625" customWidth="1"/>
    <col min="4098" max="4098" width="22.7109375" customWidth="1"/>
    <col min="4099" max="4099" width="14.85546875" customWidth="1"/>
    <col min="4100" max="4100" width="10.7109375" customWidth="1"/>
    <col min="4101" max="4101" width="14.42578125" customWidth="1"/>
    <col min="4102" max="4102" width="22.7109375" customWidth="1"/>
    <col min="4103" max="4103" width="19.140625" customWidth="1"/>
    <col min="4354" max="4354" width="22.7109375" customWidth="1"/>
    <col min="4355" max="4355" width="14.85546875" customWidth="1"/>
    <col min="4356" max="4356" width="10.7109375" customWidth="1"/>
    <col min="4357" max="4357" width="14.42578125" customWidth="1"/>
    <col min="4358" max="4358" width="22.7109375" customWidth="1"/>
    <col min="4359" max="4359" width="19.140625" customWidth="1"/>
    <col min="4610" max="4610" width="22.7109375" customWidth="1"/>
    <col min="4611" max="4611" width="14.85546875" customWidth="1"/>
    <col min="4612" max="4612" width="10.7109375" customWidth="1"/>
    <col min="4613" max="4613" width="14.42578125" customWidth="1"/>
    <col min="4614" max="4614" width="22.7109375" customWidth="1"/>
    <col min="4615" max="4615" width="19.140625" customWidth="1"/>
    <col min="4866" max="4866" width="22.7109375" customWidth="1"/>
    <col min="4867" max="4867" width="14.85546875" customWidth="1"/>
    <col min="4868" max="4868" width="10.7109375" customWidth="1"/>
    <col min="4869" max="4869" width="14.42578125" customWidth="1"/>
    <col min="4870" max="4870" width="22.7109375" customWidth="1"/>
    <col min="4871" max="4871" width="19.140625" customWidth="1"/>
    <col min="5122" max="5122" width="22.7109375" customWidth="1"/>
    <col min="5123" max="5123" width="14.85546875" customWidth="1"/>
    <col min="5124" max="5124" width="10.7109375" customWidth="1"/>
    <col min="5125" max="5125" width="14.42578125" customWidth="1"/>
    <col min="5126" max="5126" width="22.7109375" customWidth="1"/>
    <col min="5127" max="5127" width="19.140625" customWidth="1"/>
    <col min="5378" max="5378" width="22.7109375" customWidth="1"/>
    <col min="5379" max="5379" width="14.85546875" customWidth="1"/>
    <col min="5380" max="5380" width="10.7109375" customWidth="1"/>
    <col min="5381" max="5381" width="14.42578125" customWidth="1"/>
    <col min="5382" max="5382" width="22.7109375" customWidth="1"/>
    <col min="5383" max="5383" width="19.140625" customWidth="1"/>
    <col min="5634" max="5634" width="22.7109375" customWidth="1"/>
    <col min="5635" max="5635" width="14.85546875" customWidth="1"/>
    <col min="5636" max="5636" width="10.7109375" customWidth="1"/>
    <col min="5637" max="5637" width="14.42578125" customWidth="1"/>
    <col min="5638" max="5638" width="22.7109375" customWidth="1"/>
    <col min="5639" max="5639" width="19.140625" customWidth="1"/>
    <col min="5890" max="5890" width="22.7109375" customWidth="1"/>
    <col min="5891" max="5891" width="14.85546875" customWidth="1"/>
    <col min="5892" max="5892" width="10.7109375" customWidth="1"/>
    <col min="5893" max="5893" width="14.42578125" customWidth="1"/>
    <col min="5894" max="5894" width="22.7109375" customWidth="1"/>
    <col min="5895" max="5895" width="19.140625" customWidth="1"/>
    <col min="6146" max="6146" width="22.7109375" customWidth="1"/>
    <col min="6147" max="6147" width="14.85546875" customWidth="1"/>
    <col min="6148" max="6148" width="10.7109375" customWidth="1"/>
    <col min="6149" max="6149" width="14.42578125" customWidth="1"/>
    <col min="6150" max="6150" width="22.7109375" customWidth="1"/>
    <col min="6151" max="6151" width="19.140625" customWidth="1"/>
    <col min="6402" max="6402" width="22.7109375" customWidth="1"/>
    <col min="6403" max="6403" width="14.85546875" customWidth="1"/>
    <col min="6404" max="6404" width="10.7109375" customWidth="1"/>
    <col min="6405" max="6405" width="14.42578125" customWidth="1"/>
    <col min="6406" max="6406" width="22.7109375" customWidth="1"/>
    <col min="6407" max="6407" width="19.140625" customWidth="1"/>
    <col min="6658" max="6658" width="22.7109375" customWidth="1"/>
    <col min="6659" max="6659" width="14.85546875" customWidth="1"/>
    <col min="6660" max="6660" width="10.7109375" customWidth="1"/>
    <col min="6661" max="6661" width="14.42578125" customWidth="1"/>
    <col min="6662" max="6662" width="22.7109375" customWidth="1"/>
    <col min="6663" max="6663" width="19.140625" customWidth="1"/>
    <col min="6914" max="6914" width="22.7109375" customWidth="1"/>
    <col min="6915" max="6915" width="14.85546875" customWidth="1"/>
    <col min="6916" max="6916" width="10.7109375" customWidth="1"/>
    <col min="6917" max="6917" width="14.42578125" customWidth="1"/>
    <col min="6918" max="6918" width="22.7109375" customWidth="1"/>
    <col min="6919" max="6919" width="19.140625" customWidth="1"/>
    <col min="7170" max="7170" width="22.7109375" customWidth="1"/>
    <col min="7171" max="7171" width="14.85546875" customWidth="1"/>
    <col min="7172" max="7172" width="10.7109375" customWidth="1"/>
    <col min="7173" max="7173" width="14.42578125" customWidth="1"/>
    <col min="7174" max="7174" width="22.7109375" customWidth="1"/>
    <col min="7175" max="7175" width="19.140625" customWidth="1"/>
    <col min="7426" max="7426" width="22.7109375" customWidth="1"/>
    <col min="7427" max="7427" width="14.85546875" customWidth="1"/>
    <col min="7428" max="7428" width="10.7109375" customWidth="1"/>
    <col min="7429" max="7429" width="14.42578125" customWidth="1"/>
    <col min="7430" max="7430" width="22.7109375" customWidth="1"/>
    <col min="7431" max="7431" width="19.140625" customWidth="1"/>
    <col min="7682" max="7682" width="22.7109375" customWidth="1"/>
    <col min="7683" max="7683" width="14.85546875" customWidth="1"/>
    <col min="7684" max="7684" width="10.7109375" customWidth="1"/>
    <col min="7685" max="7685" width="14.42578125" customWidth="1"/>
    <col min="7686" max="7686" width="22.7109375" customWidth="1"/>
    <col min="7687" max="7687" width="19.140625" customWidth="1"/>
    <col min="7938" max="7938" width="22.7109375" customWidth="1"/>
    <col min="7939" max="7939" width="14.85546875" customWidth="1"/>
    <col min="7940" max="7940" width="10.7109375" customWidth="1"/>
    <col min="7941" max="7941" width="14.42578125" customWidth="1"/>
    <col min="7942" max="7942" width="22.7109375" customWidth="1"/>
    <col min="7943" max="7943" width="19.140625" customWidth="1"/>
    <col min="8194" max="8194" width="22.7109375" customWidth="1"/>
    <col min="8195" max="8195" width="14.85546875" customWidth="1"/>
    <col min="8196" max="8196" width="10.7109375" customWidth="1"/>
    <col min="8197" max="8197" width="14.42578125" customWidth="1"/>
    <col min="8198" max="8198" width="22.7109375" customWidth="1"/>
    <col min="8199" max="8199" width="19.140625" customWidth="1"/>
    <col min="8450" max="8450" width="22.7109375" customWidth="1"/>
    <col min="8451" max="8451" width="14.85546875" customWidth="1"/>
    <col min="8452" max="8452" width="10.7109375" customWidth="1"/>
    <col min="8453" max="8453" width="14.42578125" customWidth="1"/>
    <col min="8454" max="8454" width="22.7109375" customWidth="1"/>
    <col min="8455" max="8455" width="19.140625" customWidth="1"/>
    <col min="8706" max="8706" width="22.7109375" customWidth="1"/>
    <col min="8707" max="8707" width="14.85546875" customWidth="1"/>
    <col min="8708" max="8708" width="10.7109375" customWidth="1"/>
    <col min="8709" max="8709" width="14.42578125" customWidth="1"/>
    <col min="8710" max="8710" width="22.7109375" customWidth="1"/>
    <col min="8711" max="8711" width="19.140625" customWidth="1"/>
    <col min="8962" max="8962" width="22.7109375" customWidth="1"/>
    <col min="8963" max="8963" width="14.85546875" customWidth="1"/>
    <col min="8964" max="8964" width="10.7109375" customWidth="1"/>
    <col min="8965" max="8965" width="14.42578125" customWidth="1"/>
    <col min="8966" max="8966" width="22.7109375" customWidth="1"/>
    <col min="8967" max="8967" width="19.140625" customWidth="1"/>
    <col min="9218" max="9218" width="22.7109375" customWidth="1"/>
    <col min="9219" max="9219" width="14.85546875" customWidth="1"/>
    <col min="9220" max="9220" width="10.7109375" customWidth="1"/>
    <col min="9221" max="9221" width="14.42578125" customWidth="1"/>
    <col min="9222" max="9222" width="22.7109375" customWidth="1"/>
    <col min="9223" max="9223" width="19.140625" customWidth="1"/>
    <col min="9474" max="9474" width="22.7109375" customWidth="1"/>
    <col min="9475" max="9475" width="14.85546875" customWidth="1"/>
    <col min="9476" max="9476" width="10.7109375" customWidth="1"/>
    <col min="9477" max="9477" width="14.42578125" customWidth="1"/>
    <col min="9478" max="9478" width="22.7109375" customWidth="1"/>
    <col min="9479" max="9479" width="19.140625" customWidth="1"/>
    <col min="9730" max="9730" width="22.7109375" customWidth="1"/>
    <col min="9731" max="9731" width="14.85546875" customWidth="1"/>
    <col min="9732" max="9732" width="10.7109375" customWidth="1"/>
    <col min="9733" max="9733" width="14.42578125" customWidth="1"/>
    <col min="9734" max="9734" width="22.7109375" customWidth="1"/>
    <col min="9735" max="9735" width="19.140625" customWidth="1"/>
    <col min="9986" max="9986" width="22.7109375" customWidth="1"/>
    <col min="9987" max="9987" width="14.85546875" customWidth="1"/>
    <col min="9988" max="9988" width="10.7109375" customWidth="1"/>
    <col min="9989" max="9989" width="14.42578125" customWidth="1"/>
    <col min="9990" max="9990" width="22.7109375" customWidth="1"/>
    <col min="9991" max="9991" width="19.140625" customWidth="1"/>
    <col min="10242" max="10242" width="22.7109375" customWidth="1"/>
    <col min="10243" max="10243" width="14.85546875" customWidth="1"/>
    <col min="10244" max="10244" width="10.7109375" customWidth="1"/>
    <col min="10245" max="10245" width="14.42578125" customWidth="1"/>
    <col min="10246" max="10246" width="22.7109375" customWidth="1"/>
    <col min="10247" max="10247" width="19.140625" customWidth="1"/>
    <col min="10498" max="10498" width="22.7109375" customWidth="1"/>
    <col min="10499" max="10499" width="14.85546875" customWidth="1"/>
    <col min="10500" max="10500" width="10.7109375" customWidth="1"/>
    <col min="10501" max="10501" width="14.42578125" customWidth="1"/>
    <col min="10502" max="10502" width="22.7109375" customWidth="1"/>
    <col min="10503" max="10503" width="19.140625" customWidth="1"/>
    <col min="10754" max="10754" width="22.7109375" customWidth="1"/>
    <col min="10755" max="10755" width="14.85546875" customWidth="1"/>
    <col min="10756" max="10756" width="10.7109375" customWidth="1"/>
    <col min="10757" max="10757" width="14.42578125" customWidth="1"/>
    <col min="10758" max="10758" width="22.7109375" customWidth="1"/>
    <col min="10759" max="10759" width="19.140625" customWidth="1"/>
    <col min="11010" max="11010" width="22.7109375" customWidth="1"/>
    <col min="11011" max="11011" width="14.85546875" customWidth="1"/>
    <col min="11012" max="11012" width="10.7109375" customWidth="1"/>
    <col min="11013" max="11013" width="14.42578125" customWidth="1"/>
    <col min="11014" max="11014" width="22.7109375" customWidth="1"/>
    <col min="11015" max="11015" width="19.140625" customWidth="1"/>
    <col min="11266" max="11266" width="22.7109375" customWidth="1"/>
    <col min="11267" max="11267" width="14.85546875" customWidth="1"/>
    <col min="11268" max="11268" width="10.7109375" customWidth="1"/>
    <col min="11269" max="11269" width="14.42578125" customWidth="1"/>
    <col min="11270" max="11270" width="22.7109375" customWidth="1"/>
    <col min="11271" max="11271" width="19.140625" customWidth="1"/>
    <col min="11522" max="11522" width="22.7109375" customWidth="1"/>
    <col min="11523" max="11523" width="14.85546875" customWidth="1"/>
    <col min="11524" max="11524" width="10.7109375" customWidth="1"/>
    <col min="11525" max="11525" width="14.42578125" customWidth="1"/>
    <col min="11526" max="11526" width="22.7109375" customWidth="1"/>
    <col min="11527" max="11527" width="19.140625" customWidth="1"/>
    <col min="11778" max="11778" width="22.7109375" customWidth="1"/>
    <col min="11779" max="11779" width="14.85546875" customWidth="1"/>
    <col min="11780" max="11780" width="10.7109375" customWidth="1"/>
    <col min="11781" max="11781" width="14.42578125" customWidth="1"/>
    <col min="11782" max="11782" width="22.7109375" customWidth="1"/>
    <col min="11783" max="11783" width="19.140625" customWidth="1"/>
    <col min="12034" max="12034" width="22.7109375" customWidth="1"/>
    <col min="12035" max="12035" width="14.85546875" customWidth="1"/>
    <col min="12036" max="12036" width="10.7109375" customWidth="1"/>
    <col min="12037" max="12037" width="14.42578125" customWidth="1"/>
    <col min="12038" max="12038" width="22.7109375" customWidth="1"/>
    <col min="12039" max="12039" width="19.140625" customWidth="1"/>
    <col min="12290" max="12290" width="22.7109375" customWidth="1"/>
    <col min="12291" max="12291" width="14.85546875" customWidth="1"/>
    <col min="12292" max="12292" width="10.7109375" customWidth="1"/>
    <col min="12293" max="12293" width="14.42578125" customWidth="1"/>
    <col min="12294" max="12294" width="22.7109375" customWidth="1"/>
    <col min="12295" max="12295" width="19.140625" customWidth="1"/>
    <col min="12546" max="12546" width="22.7109375" customWidth="1"/>
    <col min="12547" max="12547" width="14.85546875" customWidth="1"/>
    <col min="12548" max="12548" width="10.7109375" customWidth="1"/>
    <col min="12549" max="12549" width="14.42578125" customWidth="1"/>
    <col min="12550" max="12550" width="22.7109375" customWidth="1"/>
    <col min="12551" max="12551" width="19.140625" customWidth="1"/>
    <col min="12802" max="12802" width="22.7109375" customWidth="1"/>
    <col min="12803" max="12803" width="14.85546875" customWidth="1"/>
    <col min="12804" max="12804" width="10.7109375" customWidth="1"/>
    <col min="12805" max="12805" width="14.42578125" customWidth="1"/>
    <col min="12806" max="12806" width="22.7109375" customWidth="1"/>
    <col min="12807" max="12807" width="19.140625" customWidth="1"/>
    <col min="13058" max="13058" width="22.7109375" customWidth="1"/>
    <col min="13059" max="13059" width="14.85546875" customWidth="1"/>
    <col min="13060" max="13060" width="10.7109375" customWidth="1"/>
    <col min="13061" max="13061" width="14.42578125" customWidth="1"/>
    <col min="13062" max="13062" width="22.7109375" customWidth="1"/>
    <col min="13063" max="13063" width="19.140625" customWidth="1"/>
    <col min="13314" max="13314" width="22.7109375" customWidth="1"/>
    <col min="13315" max="13315" width="14.85546875" customWidth="1"/>
    <col min="13316" max="13316" width="10.7109375" customWidth="1"/>
    <col min="13317" max="13317" width="14.42578125" customWidth="1"/>
    <col min="13318" max="13318" width="22.7109375" customWidth="1"/>
    <col min="13319" max="13319" width="19.140625" customWidth="1"/>
    <col min="13570" max="13570" width="22.7109375" customWidth="1"/>
    <col min="13571" max="13571" width="14.85546875" customWidth="1"/>
    <col min="13572" max="13572" width="10.7109375" customWidth="1"/>
    <col min="13573" max="13573" width="14.42578125" customWidth="1"/>
    <col min="13574" max="13574" width="22.7109375" customWidth="1"/>
    <col min="13575" max="13575" width="19.140625" customWidth="1"/>
    <col min="13826" max="13826" width="22.7109375" customWidth="1"/>
    <col min="13827" max="13827" width="14.85546875" customWidth="1"/>
    <col min="13828" max="13828" width="10.7109375" customWidth="1"/>
    <col min="13829" max="13829" width="14.42578125" customWidth="1"/>
    <col min="13830" max="13830" width="22.7109375" customWidth="1"/>
    <col min="13831" max="13831" width="19.140625" customWidth="1"/>
    <col min="14082" max="14082" width="22.7109375" customWidth="1"/>
    <col min="14083" max="14083" width="14.85546875" customWidth="1"/>
    <col min="14084" max="14084" width="10.7109375" customWidth="1"/>
    <col min="14085" max="14085" width="14.42578125" customWidth="1"/>
    <col min="14086" max="14086" width="22.7109375" customWidth="1"/>
    <col min="14087" max="14087" width="19.140625" customWidth="1"/>
    <col min="14338" max="14338" width="22.7109375" customWidth="1"/>
    <col min="14339" max="14339" width="14.85546875" customWidth="1"/>
    <col min="14340" max="14340" width="10.7109375" customWidth="1"/>
    <col min="14341" max="14341" width="14.42578125" customWidth="1"/>
    <col min="14342" max="14342" width="22.7109375" customWidth="1"/>
    <col min="14343" max="14343" width="19.140625" customWidth="1"/>
    <col min="14594" max="14594" width="22.7109375" customWidth="1"/>
    <col min="14595" max="14595" width="14.85546875" customWidth="1"/>
    <col min="14596" max="14596" width="10.7109375" customWidth="1"/>
    <col min="14597" max="14597" width="14.42578125" customWidth="1"/>
    <col min="14598" max="14598" width="22.7109375" customWidth="1"/>
    <col min="14599" max="14599" width="19.140625" customWidth="1"/>
    <col min="14850" max="14850" width="22.7109375" customWidth="1"/>
    <col min="14851" max="14851" width="14.85546875" customWidth="1"/>
    <col min="14852" max="14852" width="10.7109375" customWidth="1"/>
    <col min="14853" max="14853" width="14.42578125" customWidth="1"/>
    <col min="14854" max="14854" width="22.7109375" customWidth="1"/>
    <col min="14855" max="14855" width="19.140625" customWidth="1"/>
    <col min="15106" max="15106" width="22.7109375" customWidth="1"/>
    <col min="15107" max="15107" width="14.85546875" customWidth="1"/>
    <col min="15108" max="15108" width="10.7109375" customWidth="1"/>
    <col min="15109" max="15109" width="14.42578125" customWidth="1"/>
    <col min="15110" max="15110" width="22.7109375" customWidth="1"/>
    <col min="15111" max="15111" width="19.140625" customWidth="1"/>
    <col min="15362" max="15362" width="22.7109375" customWidth="1"/>
    <col min="15363" max="15363" width="14.85546875" customWidth="1"/>
    <col min="15364" max="15364" width="10.7109375" customWidth="1"/>
    <col min="15365" max="15365" width="14.42578125" customWidth="1"/>
    <col min="15366" max="15366" width="22.7109375" customWidth="1"/>
    <col min="15367" max="15367" width="19.140625" customWidth="1"/>
    <col min="15618" max="15618" width="22.7109375" customWidth="1"/>
    <col min="15619" max="15619" width="14.85546875" customWidth="1"/>
    <col min="15620" max="15620" width="10.7109375" customWidth="1"/>
    <col min="15621" max="15621" width="14.42578125" customWidth="1"/>
    <col min="15622" max="15622" width="22.7109375" customWidth="1"/>
    <col min="15623" max="15623" width="19.140625" customWidth="1"/>
    <col min="15874" max="15874" width="22.7109375" customWidth="1"/>
    <col min="15875" max="15875" width="14.85546875" customWidth="1"/>
    <col min="15876" max="15876" width="10.7109375" customWidth="1"/>
    <col min="15877" max="15877" width="14.42578125" customWidth="1"/>
    <col min="15878" max="15878" width="22.7109375" customWidth="1"/>
    <col min="15879" max="15879" width="19.140625" customWidth="1"/>
    <col min="16130" max="16130" width="22.7109375" customWidth="1"/>
    <col min="16131" max="16131" width="14.85546875" customWidth="1"/>
    <col min="16132" max="16132" width="10.7109375" customWidth="1"/>
    <col min="16133" max="16133" width="14.42578125" customWidth="1"/>
    <col min="16134" max="16134" width="22.7109375" customWidth="1"/>
    <col min="16135" max="16135" width="19.140625" customWidth="1"/>
  </cols>
  <sheetData>
    <row r="2" spans="2:7" ht="20.25" x14ac:dyDescent="0.3">
      <c r="B2" s="610" t="s">
        <v>193</v>
      </c>
      <c r="C2" s="610"/>
      <c r="D2" s="610"/>
      <c r="E2" s="610"/>
      <c r="F2" s="610"/>
      <c r="G2" s="33"/>
    </row>
    <row r="3" spans="2:7" ht="20.25" x14ac:dyDescent="0.3">
      <c r="B3" s="610" t="s">
        <v>296</v>
      </c>
      <c r="C3" s="610"/>
      <c r="D3" s="610"/>
      <c r="E3" s="610"/>
      <c r="F3" s="610"/>
      <c r="G3" s="33"/>
    </row>
    <row r="4" spans="2:7" ht="20.25" x14ac:dyDescent="0.3">
      <c r="B4" s="610" t="s">
        <v>37</v>
      </c>
      <c r="C4" s="610"/>
      <c r="D4" s="610"/>
      <c r="E4" s="610"/>
      <c r="F4" s="610"/>
      <c r="G4" s="33"/>
    </row>
    <row r="5" spans="2:7" ht="15.75" x14ac:dyDescent="0.25">
      <c r="C5" s="605"/>
      <c r="D5" s="605"/>
      <c r="E5" s="605"/>
    </row>
    <row r="33" spans="2:6" ht="33" customHeight="1" x14ac:dyDescent="0.25">
      <c r="B33" s="408" t="s">
        <v>38</v>
      </c>
      <c r="C33" s="402" t="s">
        <v>39</v>
      </c>
      <c r="D33" s="611" t="s">
        <v>40</v>
      </c>
      <c r="E33" s="612"/>
      <c r="F33" s="280"/>
    </row>
    <row r="34" spans="2:6" ht="16.5" x14ac:dyDescent="0.25">
      <c r="B34" s="607"/>
      <c r="C34" s="608"/>
      <c r="D34" s="608"/>
      <c r="E34" s="609"/>
      <c r="F34" s="280"/>
    </row>
    <row r="35" spans="2:6" ht="19.5" customHeight="1" x14ac:dyDescent="0.25">
      <c r="B35" s="409" t="s">
        <v>22</v>
      </c>
      <c r="C35" s="410">
        <f>'ES CT Gas 2022 Table C  '!D46+'ES CT Gas 2022 Table C  '!G46</f>
        <v>1911028.3872744762</v>
      </c>
      <c r="D35" s="414"/>
      <c r="E35" s="416">
        <f t="shared" ref="E35:E41" si="0">SUM(C35/$C$43)</f>
        <v>0.10687521739952152</v>
      </c>
      <c r="F35" s="280"/>
    </row>
    <row r="36" spans="2:6" ht="20.25" customHeight="1" x14ac:dyDescent="0.25">
      <c r="B36" s="409" t="s">
        <v>41</v>
      </c>
      <c r="C36" s="410">
        <f>'ES CT Gas 2022 Table C  '!E46</f>
        <v>3184</v>
      </c>
      <c r="D36" s="414"/>
      <c r="E36" s="416">
        <f t="shared" si="0"/>
        <v>1.7806679087870684E-4</v>
      </c>
      <c r="F36" s="280"/>
    </row>
    <row r="37" spans="2:6" ht="17.25" customHeight="1" x14ac:dyDescent="0.25">
      <c r="B37" s="409" t="s">
        <v>24</v>
      </c>
      <c r="C37" s="410">
        <f>'ES CT Gas 2022 Table C  '!F46</f>
        <v>2206805.0577711514</v>
      </c>
      <c r="D37" s="414"/>
      <c r="E37" s="416">
        <f t="shared" si="0"/>
        <v>0.12341667548122116</v>
      </c>
      <c r="F37" s="280"/>
    </row>
    <row r="38" spans="2:6" ht="20.25" customHeight="1" x14ac:dyDescent="0.25">
      <c r="B38" s="409" t="s">
        <v>25</v>
      </c>
      <c r="C38" s="410">
        <f>'ES CT Gas 2022 Table C  '!H46</f>
        <v>11929578.686283555</v>
      </c>
      <c r="D38" s="414"/>
      <c r="E38" s="416">
        <f t="shared" si="0"/>
        <v>0.66716764861857158</v>
      </c>
      <c r="F38" s="280"/>
    </row>
    <row r="39" spans="2:6" ht="20.25" customHeight="1" x14ac:dyDescent="0.25">
      <c r="B39" s="409" t="s">
        <v>26</v>
      </c>
      <c r="C39" s="410">
        <f>'ES CT Gas 2022 Table C  '!I46</f>
        <v>753259.49865662155</v>
      </c>
      <c r="D39" s="414"/>
      <c r="E39" s="416">
        <f t="shared" si="0"/>
        <v>4.2126413826849306E-2</v>
      </c>
      <c r="F39" s="280"/>
    </row>
    <row r="40" spans="2:6" ht="17.25" customHeight="1" x14ac:dyDescent="0.25">
      <c r="B40" s="409" t="s">
        <v>107</v>
      </c>
      <c r="C40" s="410">
        <f>'ES CT Gas 2022 Table C  '!J46</f>
        <v>1051575.3638727539</v>
      </c>
      <c r="D40" s="414"/>
      <c r="E40" s="416">
        <f t="shared" si="0"/>
        <v>5.8809877641937729E-2</v>
      </c>
      <c r="F40" s="280"/>
    </row>
    <row r="41" spans="2:6" ht="19.5" customHeight="1" x14ac:dyDescent="0.4">
      <c r="B41" s="409" t="s">
        <v>27</v>
      </c>
      <c r="C41" s="411">
        <f>'ES CT Gas 2022 Table C  '!K46</f>
        <v>25500</v>
      </c>
      <c r="D41" s="414"/>
      <c r="E41" s="417">
        <f t="shared" si="0"/>
        <v>1.426100241019794E-3</v>
      </c>
      <c r="F41" s="280"/>
    </row>
    <row r="42" spans="2:6" ht="16.5" x14ac:dyDescent="0.25">
      <c r="B42" s="607"/>
      <c r="C42" s="608"/>
      <c r="D42" s="608"/>
      <c r="E42" s="609"/>
      <c r="F42" s="280"/>
    </row>
    <row r="43" spans="2:6" ht="16.5" x14ac:dyDescent="0.25">
      <c r="B43" s="412" t="s">
        <v>42</v>
      </c>
      <c r="C43" s="413">
        <f>SUM(C35:C41)</f>
        <v>17880930.993858561</v>
      </c>
      <c r="D43" s="415"/>
      <c r="E43" s="418">
        <f>SUM(E35:E41)</f>
        <v>0.99999999999999967</v>
      </c>
      <c r="F43" s="280"/>
    </row>
    <row r="44" spans="2:6" ht="16.5" x14ac:dyDescent="0.25">
      <c r="B44" s="280"/>
      <c r="C44" s="280"/>
      <c r="D44" s="280"/>
      <c r="E44" s="280"/>
      <c r="F44" s="280"/>
    </row>
    <row r="45" spans="2:6" x14ac:dyDescent="0.2">
      <c r="B45" s="35"/>
    </row>
  </sheetData>
  <mergeCells count="7">
    <mergeCell ref="B42:E42"/>
    <mergeCell ref="B2:F2"/>
    <mergeCell ref="B3:F3"/>
    <mergeCell ref="B4:F4"/>
    <mergeCell ref="C5:E5"/>
    <mergeCell ref="D33:E33"/>
    <mergeCell ref="B34:E34"/>
  </mergeCells>
  <pageMargins left="0.7" right="0.7" top="0.75" bottom="0.75" header="0.3" footer="0.3"/>
  <pageSetup orientation="portrait"/>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56D3B-D73B-4F3F-BE1F-5480A23F3B49}">
  <sheetPr>
    <tabColor rgb="FFFFC000"/>
    <pageSetUpPr fitToPage="1"/>
  </sheetPr>
  <dimension ref="A2:R58"/>
  <sheetViews>
    <sheetView showGridLines="0" topLeftCell="B1" zoomScale="70" zoomScaleNormal="70" workbookViewId="0">
      <pane ySplit="6" topLeftCell="A19" activePane="bottomLeft" state="frozen"/>
      <selection activeCell="D38" sqref="D38"/>
      <selection pane="bottomLeft" activeCell="G34" sqref="G34"/>
    </sheetView>
  </sheetViews>
  <sheetFormatPr defaultRowHeight="15.75" x14ac:dyDescent="0.25"/>
  <cols>
    <col min="1" max="1" width="7.140625" style="17" hidden="1" customWidth="1"/>
    <col min="2" max="2" width="7.140625" style="17" customWidth="1"/>
    <col min="3" max="3" width="61.28515625" style="17" customWidth="1"/>
    <col min="4" max="4" width="19.85546875" style="28" customWidth="1"/>
    <col min="5" max="5" width="18" style="30" customWidth="1"/>
    <col min="6" max="6" width="20.85546875" style="28" bestFit="1" customWidth="1"/>
    <col min="7" max="7" width="18" style="30" customWidth="1"/>
    <col min="8" max="8" width="20.7109375" style="17" customWidth="1"/>
    <col min="9" max="9" width="16.5703125" style="17" customWidth="1"/>
    <col min="10" max="11" width="20.42578125" style="17" customWidth="1"/>
    <col min="12" max="12" width="21.140625" style="17" customWidth="1"/>
    <col min="13" max="13" width="17.7109375" style="17" customWidth="1"/>
    <col min="14" max="14" width="12.42578125" style="17" customWidth="1"/>
    <col min="15" max="15" width="9.140625" style="17" customWidth="1"/>
    <col min="16" max="16" width="10" style="17" hidden="1" customWidth="1"/>
    <col min="17" max="17" width="13.140625" style="17" hidden="1" customWidth="1"/>
    <col min="18" max="19" width="8.85546875" style="17" customWidth="1"/>
    <col min="20" max="239" width="9.140625" style="17"/>
    <col min="240" max="240" width="7.140625" style="17" customWidth="1"/>
    <col min="241" max="241" width="54.5703125" style="17" customWidth="1"/>
    <col min="242" max="242" width="19.85546875" style="17" customWidth="1"/>
    <col min="243" max="243" width="18" style="17" customWidth="1"/>
    <col min="244" max="244" width="20.85546875" style="17" bestFit="1" customWidth="1"/>
    <col min="245" max="245" width="17.42578125" style="17" customWidth="1"/>
    <col min="246" max="246" width="16.5703125" style="17" customWidth="1"/>
    <col min="247" max="247" width="20.42578125" style="17" customWidth="1"/>
    <col min="248" max="248" width="21.140625" style="17" customWidth="1"/>
    <col min="249" max="258" width="0" style="17" hidden="1" customWidth="1"/>
    <col min="259" max="259" width="19" style="17" customWidth="1"/>
    <col min="260" max="260" width="12" style="17" customWidth="1"/>
    <col min="261" max="263" width="9.140625" style="17"/>
    <col min="264" max="264" width="10.28515625" style="17" customWidth="1"/>
    <col min="265" max="495" width="9.140625" style="17"/>
    <col min="496" max="496" width="7.140625" style="17" customWidth="1"/>
    <col min="497" max="497" width="54.5703125" style="17" customWidth="1"/>
    <col min="498" max="498" width="19.85546875" style="17" customWidth="1"/>
    <col min="499" max="499" width="18" style="17" customWidth="1"/>
    <col min="500" max="500" width="20.85546875" style="17" bestFit="1" customWidth="1"/>
    <col min="501" max="501" width="17.42578125" style="17" customWidth="1"/>
    <col min="502" max="502" width="16.5703125" style="17" customWidth="1"/>
    <col min="503" max="503" width="20.42578125" style="17" customWidth="1"/>
    <col min="504" max="504" width="21.140625" style="17" customWidth="1"/>
    <col min="505" max="514" width="0" style="17" hidden="1" customWidth="1"/>
    <col min="515" max="515" width="19" style="17" customWidth="1"/>
    <col min="516" max="516" width="12" style="17" customWidth="1"/>
    <col min="517" max="519" width="9.140625" style="17"/>
    <col min="520" max="520" width="10.28515625" style="17" customWidth="1"/>
    <col min="521" max="751" width="9.140625" style="17"/>
    <col min="752" max="752" width="7.140625" style="17" customWidth="1"/>
    <col min="753" max="753" width="54.5703125" style="17" customWidth="1"/>
    <col min="754" max="754" width="19.85546875" style="17" customWidth="1"/>
    <col min="755" max="755" width="18" style="17" customWidth="1"/>
    <col min="756" max="756" width="20.85546875" style="17" bestFit="1" customWidth="1"/>
    <col min="757" max="757" width="17.42578125" style="17" customWidth="1"/>
    <col min="758" max="758" width="16.5703125" style="17" customWidth="1"/>
    <col min="759" max="759" width="20.42578125" style="17" customWidth="1"/>
    <col min="760" max="760" width="21.140625" style="17" customWidth="1"/>
    <col min="761" max="770" width="0" style="17" hidden="1" customWidth="1"/>
    <col min="771" max="771" width="19" style="17" customWidth="1"/>
    <col min="772" max="772" width="12" style="17" customWidth="1"/>
    <col min="773" max="775" width="9.140625" style="17"/>
    <col min="776" max="776" width="10.28515625" style="17" customWidth="1"/>
    <col min="777" max="1007" width="9.140625" style="17"/>
    <col min="1008" max="1008" width="7.140625" style="17" customWidth="1"/>
    <col min="1009" max="1009" width="54.5703125" style="17" customWidth="1"/>
    <col min="1010" max="1010" width="19.85546875" style="17" customWidth="1"/>
    <col min="1011" max="1011" width="18" style="17" customWidth="1"/>
    <col min="1012" max="1012" width="20.85546875" style="17" bestFit="1" customWidth="1"/>
    <col min="1013" max="1013" width="17.42578125" style="17" customWidth="1"/>
    <col min="1014" max="1014" width="16.5703125" style="17" customWidth="1"/>
    <col min="1015" max="1015" width="20.42578125" style="17" customWidth="1"/>
    <col min="1016" max="1016" width="21.140625" style="17" customWidth="1"/>
    <col min="1017" max="1026" width="0" style="17" hidden="1" customWidth="1"/>
    <col min="1027" max="1027" width="19" style="17" customWidth="1"/>
    <col min="1028" max="1028" width="12" style="17" customWidth="1"/>
    <col min="1029" max="1031" width="9.140625" style="17"/>
    <col min="1032" max="1032" width="10.28515625" style="17" customWidth="1"/>
    <col min="1033" max="1263" width="9.140625" style="17"/>
    <col min="1264" max="1264" width="7.140625" style="17" customWidth="1"/>
    <col min="1265" max="1265" width="54.5703125" style="17" customWidth="1"/>
    <col min="1266" max="1266" width="19.85546875" style="17" customWidth="1"/>
    <col min="1267" max="1267" width="18" style="17" customWidth="1"/>
    <col min="1268" max="1268" width="20.85546875" style="17" bestFit="1" customWidth="1"/>
    <col min="1269" max="1269" width="17.42578125" style="17" customWidth="1"/>
    <col min="1270" max="1270" width="16.5703125" style="17" customWidth="1"/>
    <col min="1271" max="1271" width="20.42578125" style="17" customWidth="1"/>
    <col min="1272" max="1272" width="21.140625" style="17" customWidth="1"/>
    <col min="1273" max="1282" width="0" style="17" hidden="1" customWidth="1"/>
    <col min="1283" max="1283" width="19" style="17" customWidth="1"/>
    <col min="1284" max="1284" width="12" style="17" customWidth="1"/>
    <col min="1285" max="1287" width="9.140625" style="17"/>
    <col min="1288" max="1288" width="10.28515625" style="17" customWidth="1"/>
    <col min="1289" max="1519" width="9.140625" style="17"/>
    <col min="1520" max="1520" width="7.140625" style="17" customWidth="1"/>
    <col min="1521" max="1521" width="54.5703125" style="17" customWidth="1"/>
    <col min="1522" max="1522" width="19.85546875" style="17" customWidth="1"/>
    <col min="1523" max="1523" width="18" style="17" customWidth="1"/>
    <col min="1524" max="1524" width="20.85546875" style="17" bestFit="1" customWidth="1"/>
    <col min="1525" max="1525" width="17.42578125" style="17" customWidth="1"/>
    <col min="1526" max="1526" width="16.5703125" style="17" customWidth="1"/>
    <col min="1527" max="1527" width="20.42578125" style="17" customWidth="1"/>
    <col min="1528" max="1528" width="21.140625" style="17" customWidth="1"/>
    <col min="1529" max="1538" width="0" style="17" hidden="1" customWidth="1"/>
    <col min="1539" max="1539" width="19" style="17" customWidth="1"/>
    <col min="1540" max="1540" width="12" style="17" customWidth="1"/>
    <col min="1541" max="1543" width="9.140625" style="17"/>
    <col min="1544" max="1544" width="10.28515625" style="17" customWidth="1"/>
    <col min="1545" max="1775" width="9.140625" style="17"/>
    <col min="1776" max="1776" width="7.140625" style="17" customWidth="1"/>
    <col min="1777" max="1777" width="54.5703125" style="17" customWidth="1"/>
    <col min="1778" max="1778" width="19.85546875" style="17" customWidth="1"/>
    <col min="1779" max="1779" width="18" style="17" customWidth="1"/>
    <col min="1780" max="1780" width="20.85546875" style="17" bestFit="1" customWidth="1"/>
    <col min="1781" max="1781" width="17.42578125" style="17" customWidth="1"/>
    <col min="1782" max="1782" width="16.5703125" style="17" customWidth="1"/>
    <col min="1783" max="1783" width="20.42578125" style="17" customWidth="1"/>
    <col min="1784" max="1784" width="21.140625" style="17" customWidth="1"/>
    <col min="1785" max="1794" width="0" style="17" hidden="1" customWidth="1"/>
    <col min="1795" max="1795" width="19" style="17" customWidth="1"/>
    <col min="1796" max="1796" width="12" style="17" customWidth="1"/>
    <col min="1797" max="1799" width="9.140625" style="17"/>
    <col min="1800" max="1800" width="10.28515625" style="17" customWidth="1"/>
    <col min="1801" max="2031" width="9.140625" style="17"/>
    <col min="2032" max="2032" width="7.140625" style="17" customWidth="1"/>
    <col min="2033" max="2033" width="54.5703125" style="17" customWidth="1"/>
    <col min="2034" max="2034" width="19.85546875" style="17" customWidth="1"/>
    <col min="2035" max="2035" width="18" style="17" customWidth="1"/>
    <col min="2036" max="2036" width="20.85546875" style="17" bestFit="1" customWidth="1"/>
    <col min="2037" max="2037" width="17.42578125" style="17" customWidth="1"/>
    <col min="2038" max="2038" width="16.5703125" style="17" customWidth="1"/>
    <col min="2039" max="2039" width="20.42578125" style="17" customWidth="1"/>
    <col min="2040" max="2040" width="21.140625" style="17" customWidth="1"/>
    <col min="2041" max="2050" width="0" style="17" hidden="1" customWidth="1"/>
    <col min="2051" max="2051" width="19" style="17" customWidth="1"/>
    <col min="2052" max="2052" width="12" style="17" customWidth="1"/>
    <col min="2053" max="2055" width="9.140625" style="17"/>
    <col min="2056" max="2056" width="10.28515625" style="17" customWidth="1"/>
    <col min="2057" max="2287" width="9.140625" style="17"/>
    <col min="2288" max="2288" width="7.140625" style="17" customWidth="1"/>
    <col min="2289" max="2289" width="54.5703125" style="17" customWidth="1"/>
    <col min="2290" max="2290" width="19.85546875" style="17" customWidth="1"/>
    <col min="2291" max="2291" width="18" style="17" customWidth="1"/>
    <col min="2292" max="2292" width="20.85546875" style="17" bestFit="1" customWidth="1"/>
    <col min="2293" max="2293" width="17.42578125" style="17" customWidth="1"/>
    <col min="2294" max="2294" width="16.5703125" style="17" customWidth="1"/>
    <col min="2295" max="2295" width="20.42578125" style="17" customWidth="1"/>
    <col min="2296" max="2296" width="21.140625" style="17" customWidth="1"/>
    <col min="2297" max="2306" width="0" style="17" hidden="1" customWidth="1"/>
    <col min="2307" max="2307" width="19" style="17" customWidth="1"/>
    <col min="2308" max="2308" width="12" style="17" customWidth="1"/>
    <col min="2309" max="2311" width="9.140625" style="17"/>
    <col min="2312" max="2312" width="10.28515625" style="17" customWidth="1"/>
    <col min="2313" max="2543" width="9.140625" style="17"/>
    <col min="2544" max="2544" width="7.140625" style="17" customWidth="1"/>
    <col min="2545" max="2545" width="54.5703125" style="17" customWidth="1"/>
    <col min="2546" max="2546" width="19.85546875" style="17" customWidth="1"/>
    <col min="2547" max="2547" width="18" style="17" customWidth="1"/>
    <col min="2548" max="2548" width="20.85546875" style="17" bestFit="1" customWidth="1"/>
    <col min="2549" max="2549" width="17.42578125" style="17" customWidth="1"/>
    <col min="2550" max="2550" width="16.5703125" style="17" customWidth="1"/>
    <col min="2551" max="2551" width="20.42578125" style="17" customWidth="1"/>
    <col min="2552" max="2552" width="21.140625" style="17" customWidth="1"/>
    <col min="2553" max="2562" width="0" style="17" hidden="1" customWidth="1"/>
    <col min="2563" max="2563" width="19" style="17" customWidth="1"/>
    <col min="2564" max="2564" width="12" style="17" customWidth="1"/>
    <col min="2565" max="2567" width="9.140625" style="17"/>
    <col min="2568" max="2568" width="10.28515625" style="17" customWidth="1"/>
    <col min="2569" max="2799" width="9.140625" style="17"/>
    <col min="2800" max="2800" width="7.140625" style="17" customWidth="1"/>
    <col min="2801" max="2801" width="54.5703125" style="17" customWidth="1"/>
    <col min="2802" max="2802" width="19.85546875" style="17" customWidth="1"/>
    <col min="2803" max="2803" width="18" style="17" customWidth="1"/>
    <col min="2804" max="2804" width="20.85546875" style="17" bestFit="1" customWidth="1"/>
    <col min="2805" max="2805" width="17.42578125" style="17" customWidth="1"/>
    <col min="2806" max="2806" width="16.5703125" style="17" customWidth="1"/>
    <col min="2807" max="2807" width="20.42578125" style="17" customWidth="1"/>
    <col min="2808" max="2808" width="21.140625" style="17" customWidth="1"/>
    <col min="2809" max="2818" width="0" style="17" hidden="1" customWidth="1"/>
    <col min="2819" max="2819" width="19" style="17" customWidth="1"/>
    <col min="2820" max="2820" width="12" style="17" customWidth="1"/>
    <col min="2821" max="2823" width="9.140625" style="17"/>
    <col min="2824" max="2824" width="10.28515625" style="17" customWidth="1"/>
    <col min="2825" max="3055" width="9.140625" style="17"/>
    <col min="3056" max="3056" width="7.140625" style="17" customWidth="1"/>
    <col min="3057" max="3057" width="54.5703125" style="17" customWidth="1"/>
    <col min="3058" max="3058" width="19.85546875" style="17" customWidth="1"/>
    <col min="3059" max="3059" width="18" style="17" customWidth="1"/>
    <col min="3060" max="3060" width="20.85546875" style="17" bestFit="1" customWidth="1"/>
    <col min="3061" max="3061" width="17.42578125" style="17" customWidth="1"/>
    <col min="3062" max="3062" width="16.5703125" style="17" customWidth="1"/>
    <col min="3063" max="3063" width="20.42578125" style="17" customWidth="1"/>
    <col min="3064" max="3064" width="21.140625" style="17" customWidth="1"/>
    <col min="3065" max="3074" width="0" style="17" hidden="1" customWidth="1"/>
    <col min="3075" max="3075" width="19" style="17" customWidth="1"/>
    <col min="3076" max="3076" width="12" style="17" customWidth="1"/>
    <col min="3077" max="3079" width="9.140625" style="17"/>
    <col min="3080" max="3080" width="10.28515625" style="17" customWidth="1"/>
    <col min="3081" max="3311" width="9.140625" style="17"/>
    <col min="3312" max="3312" width="7.140625" style="17" customWidth="1"/>
    <col min="3313" max="3313" width="54.5703125" style="17" customWidth="1"/>
    <col min="3314" max="3314" width="19.85546875" style="17" customWidth="1"/>
    <col min="3315" max="3315" width="18" style="17" customWidth="1"/>
    <col min="3316" max="3316" width="20.85546875" style="17" bestFit="1" customWidth="1"/>
    <col min="3317" max="3317" width="17.42578125" style="17" customWidth="1"/>
    <col min="3318" max="3318" width="16.5703125" style="17" customWidth="1"/>
    <col min="3319" max="3319" width="20.42578125" style="17" customWidth="1"/>
    <col min="3320" max="3320" width="21.140625" style="17" customWidth="1"/>
    <col min="3321" max="3330" width="0" style="17" hidden="1" customWidth="1"/>
    <col min="3331" max="3331" width="19" style="17" customWidth="1"/>
    <col min="3332" max="3332" width="12" style="17" customWidth="1"/>
    <col min="3333" max="3335" width="9.140625" style="17"/>
    <col min="3336" max="3336" width="10.28515625" style="17" customWidth="1"/>
    <col min="3337" max="3567" width="9.140625" style="17"/>
    <col min="3568" max="3568" width="7.140625" style="17" customWidth="1"/>
    <col min="3569" max="3569" width="54.5703125" style="17" customWidth="1"/>
    <col min="3570" max="3570" width="19.85546875" style="17" customWidth="1"/>
    <col min="3571" max="3571" width="18" style="17" customWidth="1"/>
    <col min="3572" max="3572" width="20.85546875" style="17" bestFit="1" customWidth="1"/>
    <col min="3573" max="3573" width="17.42578125" style="17" customWidth="1"/>
    <col min="3574" max="3574" width="16.5703125" style="17" customWidth="1"/>
    <col min="3575" max="3575" width="20.42578125" style="17" customWidth="1"/>
    <col min="3576" max="3576" width="21.140625" style="17" customWidth="1"/>
    <col min="3577" max="3586" width="0" style="17" hidden="1" customWidth="1"/>
    <col min="3587" max="3587" width="19" style="17" customWidth="1"/>
    <col min="3588" max="3588" width="12" style="17" customWidth="1"/>
    <col min="3589" max="3591" width="9.140625" style="17"/>
    <col min="3592" max="3592" width="10.28515625" style="17" customWidth="1"/>
    <col min="3593" max="3823" width="9.140625" style="17"/>
    <col min="3824" max="3824" width="7.140625" style="17" customWidth="1"/>
    <col min="3825" max="3825" width="54.5703125" style="17" customWidth="1"/>
    <col min="3826" max="3826" width="19.85546875" style="17" customWidth="1"/>
    <col min="3827" max="3827" width="18" style="17" customWidth="1"/>
    <col min="3828" max="3828" width="20.85546875" style="17" bestFit="1" customWidth="1"/>
    <col min="3829" max="3829" width="17.42578125" style="17" customWidth="1"/>
    <col min="3830" max="3830" width="16.5703125" style="17" customWidth="1"/>
    <col min="3831" max="3831" width="20.42578125" style="17" customWidth="1"/>
    <col min="3832" max="3832" width="21.140625" style="17" customWidth="1"/>
    <col min="3833" max="3842" width="0" style="17" hidden="1" customWidth="1"/>
    <col min="3843" max="3843" width="19" style="17" customWidth="1"/>
    <col min="3844" max="3844" width="12" style="17" customWidth="1"/>
    <col min="3845" max="3847" width="9.140625" style="17"/>
    <col min="3848" max="3848" width="10.28515625" style="17" customWidth="1"/>
    <col min="3849" max="4079" width="9.140625" style="17"/>
    <col min="4080" max="4080" width="7.140625" style="17" customWidth="1"/>
    <col min="4081" max="4081" width="54.5703125" style="17" customWidth="1"/>
    <col min="4082" max="4082" width="19.85546875" style="17" customWidth="1"/>
    <col min="4083" max="4083" width="18" style="17" customWidth="1"/>
    <col min="4084" max="4084" width="20.85546875" style="17" bestFit="1" customWidth="1"/>
    <col min="4085" max="4085" width="17.42578125" style="17" customWidth="1"/>
    <col min="4086" max="4086" width="16.5703125" style="17" customWidth="1"/>
    <col min="4087" max="4087" width="20.42578125" style="17" customWidth="1"/>
    <col min="4088" max="4088" width="21.140625" style="17" customWidth="1"/>
    <col min="4089" max="4098" width="0" style="17" hidden="1" customWidth="1"/>
    <col min="4099" max="4099" width="19" style="17" customWidth="1"/>
    <col min="4100" max="4100" width="12" style="17" customWidth="1"/>
    <col min="4101" max="4103" width="9.140625" style="17"/>
    <col min="4104" max="4104" width="10.28515625" style="17" customWidth="1"/>
    <col min="4105" max="4335" width="9.140625" style="17"/>
    <col min="4336" max="4336" width="7.140625" style="17" customWidth="1"/>
    <col min="4337" max="4337" width="54.5703125" style="17" customWidth="1"/>
    <col min="4338" max="4338" width="19.85546875" style="17" customWidth="1"/>
    <col min="4339" max="4339" width="18" style="17" customWidth="1"/>
    <col min="4340" max="4340" width="20.85546875" style="17" bestFit="1" customWidth="1"/>
    <col min="4341" max="4341" width="17.42578125" style="17" customWidth="1"/>
    <col min="4342" max="4342" width="16.5703125" style="17" customWidth="1"/>
    <col min="4343" max="4343" width="20.42578125" style="17" customWidth="1"/>
    <col min="4344" max="4344" width="21.140625" style="17" customWidth="1"/>
    <col min="4345" max="4354" width="0" style="17" hidden="1" customWidth="1"/>
    <col min="4355" max="4355" width="19" style="17" customWidth="1"/>
    <col min="4356" max="4356" width="12" style="17" customWidth="1"/>
    <col min="4357" max="4359" width="9.140625" style="17"/>
    <col min="4360" max="4360" width="10.28515625" style="17" customWidth="1"/>
    <col min="4361" max="4591" width="9.140625" style="17"/>
    <col min="4592" max="4592" width="7.140625" style="17" customWidth="1"/>
    <col min="4593" max="4593" width="54.5703125" style="17" customWidth="1"/>
    <col min="4594" max="4594" width="19.85546875" style="17" customWidth="1"/>
    <col min="4595" max="4595" width="18" style="17" customWidth="1"/>
    <col min="4596" max="4596" width="20.85546875" style="17" bestFit="1" customWidth="1"/>
    <col min="4597" max="4597" width="17.42578125" style="17" customWidth="1"/>
    <col min="4598" max="4598" width="16.5703125" style="17" customWidth="1"/>
    <col min="4599" max="4599" width="20.42578125" style="17" customWidth="1"/>
    <col min="4600" max="4600" width="21.140625" style="17" customWidth="1"/>
    <col min="4601" max="4610" width="0" style="17" hidden="1" customWidth="1"/>
    <col min="4611" max="4611" width="19" style="17" customWidth="1"/>
    <col min="4612" max="4612" width="12" style="17" customWidth="1"/>
    <col min="4613" max="4615" width="9.140625" style="17"/>
    <col min="4616" max="4616" width="10.28515625" style="17" customWidth="1"/>
    <col min="4617" max="4847" width="9.140625" style="17"/>
    <col min="4848" max="4848" width="7.140625" style="17" customWidth="1"/>
    <col min="4849" max="4849" width="54.5703125" style="17" customWidth="1"/>
    <col min="4850" max="4850" width="19.85546875" style="17" customWidth="1"/>
    <col min="4851" max="4851" width="18" style="17" customWidth="1"/>
    <col min="4852" max="4852" width="20.85546875" style="17" bestFit="1" customWidth="1"/>
    <col min="4853" max="4853" width="17.42578125" style="17" customWidth="1"/>
    <col min="4854" max="4854" width="16.5703125" style="17" customWidth="1"/>
    <col min="4855" max="4855" width="20.42578125" style="17" customWidth="1"/>
    <col min="4856" max="4856" width="21.140625" style="17" customWidth="1"/>
    <col min="4857" max="4866" width="0" style="17" hidden="1" customWidth="1"/>
    <col min="4867" max="4867" width="19" style="17" customWidth="1"/>
    <col min="4868" max="4868" width="12" style="17" customWidth="1"/>
    <col min="4869" max="4871" width="9.140625" style="17"/>
    <col min="4872" max="4872" width="10.28515625" style="17" customWidth="1"/>
    <col min="4873" max="5103" width="9.140625" style="17"/>
    <col min="5104" max="5104" width="7.140625" style="17" customWidth="1"/>
    <col min="5105" max="5105" width="54.5703125" style="17" customWidth="1"/>
    <col min="5106" max="5106" width="19.85546875" style="17" customWidth="1"/>
    <col min="5107" max="5107" width="18" style="17" customWidth="1"/>
    <col min="5108" max="5108" width="20.85546875" style="17" bestFit="1" customWidth="1"/>
    <col min="5109" max="5109" width="17.42578125" style="17" customWidth="1"/>
    <col min="5110" max="5110" width="16.5703125" style="17" customWidth="1"/>
    <col min="5111" max="5111" width="20.42578125" style="17" customWidth="1"/>
    <col min="5112" max="5112" width="21.140625" style="17" customWidth="1"/>
    <col min="5113" max="5122" width="0" style="17" hidden="1" customWidth="1"/>
    <col min="5123" max="5123" width="19" style="17" customWidth="1"/>
    <col min="5124" max="5124" width="12" style="17" customWidth="1"/>
    <col min="5125" max="5127" width="9.140625" style="17"/>
    <col min="5128" max="5128" width="10.28515625" style="17" customWidth="1"/>
    <col min="5129" max="5359" width="9.140625" style="17"/>
    <col min="5360" max="5360" width="7.140625" style="17" customWidth="1"/>
    <col min="5361" max="5361" width="54.5703125" style="17" customWidth="1"/>
    <col min="5362" max="5362" width="19.85546875" style="17" customWidth="1"/>
    <col min="5363" max="5363" width="18" style="17" customWidth="1"/>
    <col min="5364" max="5364" width="20.85546875" style="17" bestFit="1" customWidth="1"/>
    <col min="5365" max="5365" width="17.42578125" style="17" customWidth="1"/>
    <col min="5366" max="5366" width="16.5703125" style="17" customWidth="1"/>
    <col min="5367" max="5367" width="20.42578125" style="17" customWidth="1"/>
    <col min="5368" max="5368" width="21.140625" style="17" customWidth="1"/>
    <col min="5369" max="5378" width="0" style="17" hidden="1" customWidth="1"/>
    <col min="5379" max="5379" width="19" style="17" customWidth="1"/>
    <col min="5380" max="5380" width="12" style="17" customWidth="1"/>
    <col min="5381" max="5383" width="9.140625" style="17"/>
    <col min="5384" max="5384" width="10.28515625" style="17" customWidth="1"/>
    <col min="5385" max="5615" width="9.140625" style="17"/>
    <col min="5616" max="5616" width="7.140625" style="17" customWidth="1"/>
    <col min="5617" max="5617" width="54.5703125" style="17" customWidth="1"/>
    <col min="5618" max="5618" width="19.85546875" style="17" customWidth="1"/>
    <col min="5619" max="5619" width="18" style="17" customWidth="1"/>
    <col min="5620" max="5620" width="20.85546875" style="17" bestFit="1" customWidth="1"/>
    <col min="5621" max="5621" width="17.42578125" style="17" customWidth="1"/>
    <col min="5622" max="5622" width="16.5703125" style="17" customWidth="1"/>
    <col min="5623" max="5623" width="20.42578125" style="17" customWidth="1"/>
    <col min="5624" max="5624" width="21.140625" style="17" customWidth="1"/>
    <col min="5625" max="5634" width="0" style="17" hidden="1" customWidth="1"/>
    <col min="5635" max="5635" width="19" style="17" customWidth="1"/>
    <col min="5636" max="5636" width="12" style="17" customWidth="1"/>
    <col min="5637" max="5639" width="9.140625" style="17"/>
    <col min="5640" max="5640" width="10.28515625" style="17" customWidth="1"/>
    <col min="5641" max="5871" width="9.140625" style="17"/>
    <col min="5872" max="5872" width="7.140625" style="17" customWidth="1"/>
    <col min="5873" max="5873" width="54.5703125" style="17" customWidth="1"/>
    <col min="5874" max="5874" width="19.85546875" style="17" customWidth="1"/>
    <col min="5875" max="5875" width="18" style="17" customWidth="1"/>
    <col min="5876" max="5876" width="20.85546875" style="17" bestFit="1" customWidth="1"/>
    <col min="5877" max="5877" width="17.42578125" style="17" customWidth="1"/>
    <col min="5878" max="5878" width="16.5703125" style="17" customWidth="1"/>
    <col min="5879" max="5879" width="20.42578125" style="17" customWidth="1"/>
    <col min="5880" max="5880" width="21.140625" style="17" customWidth="1"/>
    <col min="5881" max="5890" width="0" style="17" hidden="1" customWidth="1"/>
    <col min="5891" max="5891" width="19" style="17" customWidth="1"/>
    <col min="5892" max="5892" width="12" style="17" customWidth="1"/>
    <col min="5893" max="5895" width="9.140625" style="17"/>
    <col min="5896" max="5896" width="10.28515625" style="17" customWidth="1"/>
    <col min="5897" max="6127" width="9.140625" style="17"/>
    <col min="6128" max="6128" width="7.140625" style="17" customWidth="1"/>
    <col min="6129" max="6129" width="54.5703125" style="17" customWidth="1"/>
    <col min="6130" max="6130" width="19.85546875" style="17" customWidth="1"/>
    <col min="6131" max="6131" width="18" style="17" customWidth="1"/>
    <col min="6132" max="6132" width="20.85546875" style="17" bestFit="1" customWidth="1"/>
    <col min="6133" max="6133" width="17.42578125" style="17" customWidth="1"/>
    <col min="6134" max="6134" width="16.5703125" style="17" customWidth="1"/>
    <col min="6135" max="6135" width="20.42578125" style="17" customWidth="1"/>
    <col min="6136" max="6136" width="21.140625" style="17" customWidth="1"/>
    <col min="6137" max="6146" width="0" style="17" hidden="1" customWidth="1"/>
    <col min="6147" max="6147" width="19" style="17" customWidth="1"/>
    <col min="6148" max="6148" width="12" style="17" customWidth="1"/>
    <col min="6149" max="6151" width="9.140625" style="17"/>
    <col min="6152" max="6152" width="10.28515625" style="17" customWidth="1"/>
    <col min="6153" max="6383" width="9.140625" style="17"/>
    <col min="6384" max="6384" width="7.140625" style="17" customWidth="1"/>
    <col min="6385" max="6385" width="54.5703125" style="17" customWidth="1"/>
    <col min="6386" max="6386" width="19.85546875" style="17" customWidth="1"/>
    <col min="6387" max="6387" width="18" style="17" customWidth="1"/>
    <col min="6388" max="6388" width="20.85546875" style="17" bestFit="1" customWidth="1"/>
    <col min="6389" max="6389" width="17.42578125" style="17" customWidth="1"/>
    <col min="6390" max="6390" width="16.5703125" style="17" customWidth="1"/>
    <col min="6391" max="6391" width="20.42578125" style="17" customWidth="1"/>
    <col min="6392" max="6392" width="21.140625" style="17" customWidth="1"/>
    <col min="6393" max="6402" width="0" style="17" hidden="1" customWidth="1"/>
    <col min="6403" max="6403" width="19" style="17" customWidth="1"/>
    <col min="6404" max="6404" width="12" style="17" customWidth="1"/>
    <col min="6405" max="6407" width="9.140625" style="17"/>
    <col min="6408" max="6408" width="10.28515625" style="17" customWidth="1"/>
    <col min="6409" max="6639" width="9.140625" style="17"/>
    <col min="6640" max="6640" width="7.140625" style="17" customWidth="1"/>
    <col min="6641" max="6641" width="54.5703125" style="17" customWidth="1"/>
    <col min="6642" max="6642" width="19.85546875" style="17" customWidth="1"/>
    <col min="6643" max="6643" width="18" style="17" customWidth="1"/>
    <col min="6644" max="6644" width="20.85546875" style="17" bestFit="1" customWidth="1"/>
    <col min="6645" max="6645" width="17.42578125" style="17" customWidth="1"/>
    <col min="6646" max="6646" width="16.5703125" style="17" customWidth="1"/>
    <col min="6647" max="6647" width="20.42578125" style="17" customWidth="1"/>
    <col min="6648" max="6648" width="21.140625" style="17" customWidth="1"/>
    <col min="6649" max="6658" width="0" style="17" hidden="1" customWidth="1"/>
    <col min="6659" max="6659" width="19" style="17" customWidth="1"/>
    <col min="6660" max="6660" width="12" style="17" customWidth="1"/>
    <col min="6661" max="6663" width="9.140625" style="17"/>
    <col min="6664" max="6664" width="10.28515625" style="17" customWidth="1"/>
    <col min="6665" max="6895" width="9.140625" style="17"/>
    <col min="6896" max="6896" width="7.140625" style="17" customWidth="1"/>
    <col min="6897" max="6897" width="54.5703125" style="17" customWidth="1"/>
    <col min="6898" max="6898" width="19.85546875" style="17" customWidth="1"/>
    <col min="6899" max="6899" width="18" style="17" customWidth="1"/>
    <col min="6900" max="6900" width="20.85546875" style="17" bestFit="1" customWidth="1"/>
    <col min="6901" max="6901" width="17.42578125" style="17" customWidth="1"/>
    <col min="6902" max="6902" width="16.5703125" style="17" customWidth="1"/>
    <col min="6903" max="6903" width="20.42578125" style="17" customWidth="1"/>
    <col min="6904" max="6904" width="21.140625" style="17" customWidth="1"/>
    <col min="6905" max="6914" width="0" style="17" hidden="1" customWidth="1"/>
    <col min="6915" max="6915" width="19" style="17" customWidth="1"/>
    <col min="6916" max="6916" width="12" style="17" customWidth="1"/>
    <col min="6917" max="6919" width="9.140625" style="17"/>
    <col min="6920" max="6920" width="10.28515625" style="17" customWidth="1"/>
    <col min="6921" max="7151" width="9.140625" style="17"/>
    <col min="7152" max="7152" width="7.140625" style="17" customWidth="1"/>
    <col min="7153" max="7153" width="54.5703125" style="17" customWidth="1"/>
    <col min="7154" max="7154" width="19.85546875" style="17" customWidth="1"/>
    <col min="7155" max="7155" width="18" style="17" customWidth="1"/>
    <col min="7156" max="7156" width="20.85546875" style="17" bestFit="1" customWidth="1"/>
    <col min="7157" max="7157" width="17.42578125" style="17" customWidth="1"/>
    <col min="7158" max="7158" width="16.5703125" style="17" customWidth="1"/>
    <col min="7159" max="7159" width="20.42578125" style="17" customWidth="1"/>
    <col min="7160" max="7160" width="21.140625" style="17" customWidth="1"/>
    <col min="7161" max="7170" width="0" style="17" hidden="1" customWidth="1"/>
    <col min="7171" max="7171" width="19" style="17" customWidth="1"/>
    <col min="7172" max="7172" width="12" style="17" customWidth="1"/>
    <col min="7173" max="7175" width="9.140625" style="17"/>
    <col min="7176" max="7176" width="10.28515625" style="17" customWidth="1"/>
    <col min="7177" max="7407" width="9.140625" style="17"/>
    <col min="7408" max="7408" width="7.140625" style="17" customWidth="1"/>
    <col min="7409" max="7409" width="54.5703125" style="17" customWidth="1"/>
    <col min="7410" max="7410" width="19.85546875" style="17" customWidth="1"/>
    <col min="7411" max="7411" width="18" style="17" customWidth="1"/>
    <col min="7412" max="7412" width="20.85546875" style="17" bestFit="1" customWidth="1"/>
    <col min="7413" max="7413" width="17.42578125" style="17" customWidth="1"/>
    <col min="7414" max="7414" width="16.5703125" style="17" customWidth="1"/>
    <col min="7415" max="7415" width="20.42578125" style="17" customWidth="1"/>
    <col min="7416" max="7416" width="21.140625" style="17" customWidth="1"/>
    <col min="7417" max="7426" width="0" style="17" hidden="1" customWidth="1"/>
    <col min="7427" max="7427" width="19" style="17" customWidth="1"/>
    <col min="7428" max="7428" width="12" style="17" customWidth="1"/>
    <col min="7429" max="7431" width="9.140625" style="17"/>
    <col min="7432" max="7432" width="10.28515625" style="17" customWidth="1"/>
    <col min="7433" max="7663" width="9.140625" style="17"/>
    <col min="7664" max="7664" width="7.140625" style="17" customWidth="1"/>
    <col min="7665" max="7665" width="54.5703125" style="17" customWidth="1"/>
    <col min="7666" max="7666" width="19.85546875" style="17" customWidth="1"/>
    <col min="7667" max="7667" width="18" style="17" customWidth="1"/>
    <col min="7668" max="7668" width="20.85546875" style="17" bestFit="1" customWidth="1"/>
    <col min="7669" max="7669" width="17.42578125" style="17" customWidth="1"/>
    <col min="7670" max="7670" width="16.5703125" style="17" customWidth="1"/>
    <col min="7671" max="7671" width="20.42578125" style="17" customWidth="1"/>
    <col min="7672" max="7672" width="21.140625" style="17" customWidth="1"/>
    <col min="7673" max="7682" width="0" style="17" hidden="1" customWidth="1"/>
    <col min="7683" max="7683" width="19" style="17" customWidth="1"/>
    <col min="7684" max="7684" width="12" style="17" customWidth="1"/>
    <col min="7685" max="7687" width="9.140625" style="17"/>
    <col min="7688" max="7688" width="10.28515625" style="17" customWidth="1"/>
    <col min="7689" max="7919" width="9.140625" style="17"/>
    <col min="7920" max="7920" width="7.140625" style="17" customWidth="1"/>
    <col min="7921" max="7921" width="54.5703125" style="17" customWidth="1"/>
    <col min="7922" max="7922" width="19.85546875" style="17" customWidth="1"/>
    <col min="7923" max="7923" width="18" style="17" customWidth="1"/>
    <col min="7924" max="7924" width="20.85546875" style="17" bestFit="1" customWidth="1"/>
    <col min="7925" max="7925" width="17.42578125" style="17" customWidth="1"/>
    <col min="7926" max="7926" width="16.5703125" style="17" customWidth="1"/>
    <col min="7927" max="7927" width="20.42578125" style="17" customWidth="1"/>
    <col min="7928" max="7928" width="21.140625" style="17" customWidth="1"/>
    <col min="7929" max="7938" width="0" style="17" hidden="1" customWidth="1"/>
    <col min="7939" max="7939" width="19" style="17" customWidth="1"/>
    <col min="7940" max="7940" width="12" style="17" customWidth="1"/>
    <col min="7941" max="7943" width="9.140625" style="17"/>
    <col min="7944" max="7944" width="10.28515625" style="17" customWidth="1"/>
    <col min="7945" max="8175" width="9.140625" style="17"/>
    <col min="8176" max="8176" width="7.140625" style="17" customWidth="1"/>
    <col min="8177" max="8177" width="54.5703125" style="17" customWidth="1"/>
    <col min="8178" max="8178" width="19.85546875" style="17" customWidth="1"/>
    <col min="8179" max="8179" width="18" style="17" customWidth="1"/>
    <col min="8180" max="8180" width="20.85546875" style="17" bestFit="1" customWidth="1"/>
    <col min="8181" max="8181" width="17.42578125" style="17" customWidth="1"/>
    <col min="8182" max="8182" width="16.5703125" style="17" customWidth="1"/>
    <col min="8183" max="8183" width="20.42578125" style="17" customWidth="1"/>
    <col min="8184" max="8184" width="21.140625" style="17" customWidth="1"/>
    <col min="8185" max="8194" width="0" style="17" hidden="1" customWidth="1"/>
    <col min="8195" max="8195" width="19" style="17" customWidth="1"/>
    <col min="8196" max="8196" width="12" style="17" customWidth="1"/>
    <col min="8197" max="8199" width="9.140625" style="17"/>
    <col min="8200" max="8200" width="10.28515625" style="17" customWidth="1"/>
    <col min="8201" max="8431" width="9.140625" style="17"/>
    <col min="8432" max="8432" width="7.140625" style="17" customWidth="1"/>
    <col min="8433" max="8433" width="54.5703125" style="17" customWidth="1"/>
    <col min="8434" max="8434" width="19.85546875" style="17" customWidth="1"/>
    <col min="8435" max="8435" width="18" style="17" customWidth="1"/>
    <col min="8436" max="8436" width="20.85546875" style="17" bestFit="1" customWidth="1"/>
    <col min="8437" max="8437" width="17.42578125" style="17" customWidth="1"/>
    <col min="8438" max="8438" width="16.5703125" style="17" customWidth="1"/>
    <col min="8439" max="8439" width="20.42578125" style="17" customWidth="1"/>
    <col min="8440" max="8440" width="21.140625" style="17" customWidth="1"/>
    <col min="8441" max="8450" width="0" style="17" hidden="1" customWidth="1"/>
    <col min="8451" max="8451" width="19" style="17" customWidth="1"/>
    <col min="8452" max="8452" width="12" style="17" customWidth="1"/>
    <col min="8453" max="8455" width="9.140625" style="17"/>
    <col min="8456" max="8456" width="10.28515625" style="17" customWidth="1"/>
    <col min="8457" max="8687" width="9.140625" style="17"/>
    <col min="8688" max="8688" width="7.140625" style="17" customWidth="1"/>
    <col min="8689" max="8689" width="54.5703125" style="17" customWidth="1"/>
    <col min="8690" max="8690" width="19.85546875" style="17" customWidth="1"/>
    <col min="8691" max="8691" width="18" style="17" customWidth="1"/>
    <col min="8692" max="8692" width="20.85546875" style="17" bestFit="1" customWidth="1"/>
    <col min="8693" max="8693" width="17.42578125" style="17" customWidth="1"/>
    <col min="8694" max="8694" width="16.5703125" style="17" customWidth="1"/>
    <col min="8695" max="8695" width="20.42578125" style="17" customWidth="1"/>
    <col min="8696" max="8696" width="21.140625" style="17" customWidth="1"/>
    <col min="8697" max="8706" width="0" style="17" hidden="1" customWidth="1"/>
    <col min="8707" max="8707" width="19" style="17" customWidth="1"/>
    <col min="8708" max="8708" width="12" style="17" customWidth="1"/>
    <col min="8709" max="8711" width="9.140625" style="17"/>
    <col min="8712" max="8712" width="10.28515625" style="17" customWidth="1"/>
    <col min="8713" max="8943" width="9.140625" style="17"/>
    <col min="8944" max="8944" width="7.140625" style="17" customWidth="1"/>
    <col min="8945" max="8945" width="54.5703125" style="17" customWidth="1"/>
    <col min="8946" max="8946" width="19.85546875" style="17" customWidth="1"/>
    <col min="8947" max="8947" width="18" style="17" customWidth="1"/>
    <col min="8948" max="8948" width="20.85546875" style="17" bestFit="1" customWidth="1"/>
    <col min="8949" max="8949" width="17.42578125" style="17" customWidth="1"/>
    <col min="8950" max="8950" width="16.5703125" style="17" customWidth="1"/>
    <col min="8951" max="8951" width="20.42578125" style="17" customWidth="1"/>
    <col min="8952" max="8952" width="21.140625" style="17" customWidth="1"/>
    <col min="8953" max="8962" width="0" style="17" hidden="1" customWidth="1"/>
    <col min="8963" max="8963" width="19" style="17" customWidth="1"/>
    <col min="8964" max="8964" width="12" style="17" customWidth="1"/>
    <col min="8965" max="8967" width="9.140625" style="17"/>
    <col min="8968" max="8968" width="10.28515625" style="17" customWidth="1"/>
    <col min="8969" max="9199" width="9.140625" style="17"/>
    <col min="9200" max="9200" width="7.140625" style="17" customWidth="1"/>
    <col min="9201" max="9201" width="54.5703125" style="17" customWidth="1"/>
    <col min="9202" max="9202" width="19.85546875" style="17" customWidth="1"/>
    <col min="9203" max="9203" width="18" style="17" customWidth="1"/>
    <col min="9204" max="9204" width="20.85546875" style="17" bestFit="1" customWidth="1"/>
    <col min="9205" max="9205" width="17.42578125" style="17" customWidth="1"/>
    <col min="9206" max="9206" width="16.5703125" style="17" customWidth="1"/>
    <col min="9207" max="9207" width="20.42578125" style="17" customWidth="1"/>
    <col min="9208" max="9208" width="21.140625" style="17" customWidth="1"/>
    <col min="9209" max="9218" width="0" style="17" hidden="1" customWidth="1"/>
    <col min="9219" max="9219" width="19" style="17" customWidth="1"/>
    <col min="9220" max="9220" width="12" style="17" customWidth="1"/>
    <col min="9221" max="9223" width="9.140625" style="17"/>
    <col min="9224" max="9224" width="10.28515625" style="17" customWidth="1"/>
    <col min="9225" max="9455" width="9.140625" style="17"/>
    <col min="9456" max="9456" width="7.140625" style="17" customWidth="1"/>
    <col min="9457" max="9457" width="54.5703125" style="17" customWidth="1"/>
    <col min="9458" max="9458" width="19.85546875" style="17" customWidth="1"/>
    <col min="9459" max="9459" width="18" style="17" customWidth="1"/>
    <col min="9460" max="9460" width="20.85546875" style="17" bestFit="1" customWidth="1"/>
    <col min="9461" max="9461" width="17.42578125" style="17" customWidth="1"/>
    <col min="9462" max="9462" width="16.5703125" style="17" customWidth="1"/>
    <col min="9463" max="9463" width="20.42578125" style="17" customWidth="1"/>
    <col min="9464" max="9464" width="21.140625" style="17" customWidth="1"/>
    <col min="9465" max="9474" width="0" style="17" hidden="1" customWidth="1"/>
    <col min="9475" max="9475" width="19" style="17" customWidth="1"/>
    <col min="9476" max="9476" width="12" style="17" customWidth="1"/>
    <col min="9477" max="9479" width="9.140625" style="17"/>
    <col min="9480" max="9480" width="10.28515625" style="17" customWidth="1"/>
    <col min="9481" max="9711" width="9.140625" style="17"/>
    <col min="9712" max="9712" width="7.140625" style="17" customWidth="1"/>
    <col min="9713" max="9713" width="54.5703125" style="17" customWidth="1"/>
    <col min="9714" max="9714" width="19.85546875" style="17" customWidth="1"/>
    <col min="9715" max="9715" width="18" style="17" customWidth="1"/>
    <col min="9716" max="9716" width="20.85546875" style="17" bestFit="1" customWidth="1"/>
    <col min="9717" max="9717" width="17.42578125" style="17" customWidth="1"/>
    <col min="9718" max="9718" width="16.5703125" style="17" customWidth="1"/>
    <col min="9719" max="9719" width="20.42578125" style="17" customWidth="1"/>
    <col min="9720" max="9720" width="21.140625" style="17" customWidth="1"/>
    <col min="9721" max="9730" width="0" style="17" hidden="1" customWidth="1"/>
    <col min="9731" max="9731" width="19" style="17" customWidth="1"/>
    <col min="9732" max="9732" width="12" style="17" customWidth="1"/>
    <col min="9733" max="9735" width="9.140625" style="17"/>
    <col min="9736" max="9736" width="10.28515625" style="17" customWidth="1"/>
    <col min="9737" max="9967" width="9.140625" style="17"/>
    <col min="9968" max="9968" width="7.140625" style="17" customWidth="1"/>
    <col min="9969" max="9969" width="54.5703125" style="17" customWidth="1"/>
    <col min="9970" max="9970" width="19.85546875" style="17" customWidth="1"/>
    <col min="9971" max="9971" width="18" style="17" customWidth="1"/>
    <col min="9972" max="9972" width="20.85546875" style="17" bestFit="1" customWidth="1"/>
    <col min="9973" max="9973" width="17.42578125" style="17" customWidth="1"/>
    <col min="9974" max="9974" width="16.5703125" style="17" customWidth="1"/>
    <col min="9975" max="9975" width="20.42578125" style="17" customWidth="1"/>
    <col min="9976" max="9976" width="21.140625" style="17" customWidth="1"/>
    <col min="9977" max="9986" width="0" style="17" hidden="1" customWidth="1"/>
    <col min="9987" max="9987" width="19" style="17" customWidth="1"/>
    <col min="9988" max="9988" width="12" style="17" customWidth="1"/>
    <col min="9989" max="9991" width="9.140625" style="17"/>
    <col min="9992" max="9992" width="10.28515625" style="17" customWidth="1"/>
    <col min="9993" max="10223" width="9.140625" style="17"/>
    <col min="10224" max="10224" width="7.140625" style="17" customWidth="1"/>
    <col min="10225" max="10225" width="54.5703125" style="17" customWidth="1"/>
    <col min="10226" max="10226" width="19.85546875" style="17" customWidth="1"/>
    <col min="10227" max="10227" width="18" style="17" customWidth="1"/>
    <col min="10228" max="10228" width="20.85546875" style="17" bestFit="1" customWidth="1"/>
    <col min="10229" max="10229" width="17.42578125" style="17" customWidth="1"/>
    <col min="10230" max="10230" width="16.5703125" style="17" customWidth="1"/>
    <col min="10231" max="10231" width="20.42578125" style="17" customWidth="1"/>
    <col min="10232" max="10232" width="21.140625" style="17" customWidth="1"/>
    <col min="10233" max="10242" width="0" style="17" hidden="1" customWidth="1"/>
    <col min="10243" max="10243" width="19" style="17" customWidth="1"/>
    <col min="10244" max="10244" width="12" style="17" customWidth="1"/>
    <col min="10245" max="10247" width="9.140625" style="17"/>
    <col min="10248" max="10248" width="10.28515625" style="17" customWidth="1"/>
    <col min="10249" max="10479" width="9.140625" style="17"/>
    <col min="10480" max="10480" width="7.140625" style="17" customWidth="1"/>
    <col min="10481" max="10481" width="54.5703125" style="17" customWidth="1"/>
    <col min="10482" max="10482" width="19.85546875" style="17" customWidth="1"/>
    <col min="10483" max="10483" width="18" style="17" customWidth="1"/>
    <col min="10484" max="10484" width="20.85546875" style="17" bestFit="1" customWidth="1"/>
    <col min="10485" max="10485" width="17.42578125" style="17" customWidth="1"/>
    <col min="10486" max="10486" width="16.5703125" style="17" customWidth="1"/>
    <col min="10487" max="10487" width="20.42578125" style="17" customWidth="1"/>
    <col min="10488" max="10488" width="21.140625" style="17" customWidth="1"/>
    <col min="10489" max="10498" width="0" style="17" hidden="1" customWidth="1"/>
    <col min="10499" max="10499" width="19" style="17" customWidth="1"/>
    <col min="10500" max="10500" width="12" style="17" customWidth="1"/>
    <col min="10501" max="10503" width="9.140625" style="17"/>
    <col min="10504" max="10504" width="10.28515625" style="17" customWidth="1"/>
    <col min="10505" max="10735" width="9.140625" style="17"/>
    <col min="10736" max="10736" width="7.140625" style="17" customWidth="1"/>
    <col min="10737" max="10737" width="54.5703125" style="17" customWidth="1"/>
    <col min="10738" max="10738" width="19.85546875" style="17" customWidth="1"/>
    <col min="10739" max="10739" width="18" style="17" customWidth="1"/>
    <col min="10740" max="10740" width="20.85546875" style="17" bestFit="1" customWidth="1"/>
    <col min="10741" max="10741" width="17.42578125" style="17" customWidth="1"/>
    <col min="10742" max="10742" width="16.5703125" style="17" customWidth="1"/>
    <col min="10743" max="10743" width="20.42578125" style="17" customWidth="1"/>
    <col min="10744" max="10744" width="21.140625" style="17" customWidth="1"/>
    <col min="10745" max="10754" width="0" style="17" hidden="1" customWidth="1"/>
    <col min="10755" max="10755" width="19" style="17" customWidth="1"/>
    <col min="10756" max="10756" width="12" style="17" customWidth="1"/>
    <col min="10757" max="10759" width="9.140625" style="17"/>
    <col min="10760" max="10760" width="10.28515625" style="17" customWidth="1"/>
    <col min="10761" max="10991" width="9.140625" style="17"/>
    <col min="10992" max="10992" width="7.140625" style="17" customWidth="1"/>
    <col min="10993" max="10993" width="54.5703125" style="17" customWidth="1"/>
    <col min="10994" max="10994" width="19.85546875" style="17" customWidth="1"/>
    <col min="10995" max="10995" width="18" style="17" customWidth="1"/>
    <col min="10996" max="10996" width="20.85546875" style="17" bestFit="1" customWidth="1"/>
    <col min="10997" max="10997" width="17.42578125" style="17" customWidth="1"/>
    <col min="10998" max="10998" width="16.5703125" style="17" customWidth="1"/>
    <col min="10999" max="10999" width="20.42578125" style="17" customWidth="1"/>
    <col min="11000" max="11000" width="21.140625" style="17" customWidth="1"/>
    <col min="11001" max="11010" width="0" style="17" hidden="1" customWidth="1"/>
    <col min="11011" max="11011" width="19" style="17" customWidth="1"/>
    <col min="11012" max="11012" width="12" style="17" customWidth="1"/>
    <col min="11013" max="11015" width="9.140625" style="17"/>
    <col min="11016" max="11016" width="10.28515625" style="17" customWidth="1"/>
    <col min="11017" max="11247" width="9.140625" style="17"/>
    <col min="11248" max="11248" width="7.140625" style="17" customWidth="1"/>
    <col min="11249" max="11249" width="54.5703125" style="17" customWidth="1"/>
    <col min="11250" max="11250" width="19.85546875" style="17" customWidth="1"/>
    <col min="11251" max="11251" width="18" style="17" customWidth="1"/>
    <col min="11252" max="11252" width="20.85546875" style="17" bestFit="1" customWidth="1"/>
    <col min="11253" max="11253" width="17.42578125" style="17" customWidth="1"/>
    <col min="11254" max="11254" width="16.5703125" style="17" customWidth="1"/>
    <col min="11255" max="11255" width="20.42578125" style="17" customWidth="1"/>
    <col min="11256" max="11256" width="21.140625" style="17" customWidth="1"/>
    <col min="11257" max="11266" width="0" style="17" hidden="1" customWidth="1"/>
    <col min="11267" max="11267" width="19" style="17" customWidth="1"/>
    <col min="11268" max="11268" width="12" style="17" customWidth="1"/>
    <col min="11269" max="11271" width="9.140625" style="17"/>
    <col min="11272" max="11272" width="10.28515625" style="17" customWidth="1"/>
    <col min="11273" max="11503" width="9.140625" style="17"/>
    <col min="11504" max="11504" width="7.140625" style="17" customWidth="1"/>
    <col min="11505" max="11505" width="54.5703125" style="17" customWidth="1"/>
    <col min="11506" max="11506" width="19.85546875" style="17" customWidth="1"/>
    <col min="11507" max="11507" width="18" style="17" customWidth="1"/>
    <col min="11508" max="11508" width="20.85546875" style="17" bestFit="1" customWidth="1"/>
    <col min="11509" max="11509" width="17.42578125" style="17" customWidth="1"/>
    <col min="11510" max="11510" width="16.5703125" style="17" customWidth="1"/>
    <col min="11511" max="11511" width="20.42578125" style="17" customWidth="1"/>
    <col min="11512" max="11512" width="21.140625" style="17" customWidth="1"/>
    <col min="11513" max="11522" width="0" style="17" hidden="1" customWidth="1"/>
    <col min="11523" max="11523" width="19" style="17" customWidth="1"/>
    <col min="11524" max="11524" width="12" style="17" customWidth="1"/>
    <col min="11525" max="11527" width="9.140625" style="17"/>
    <col min="11528" max="11528" width="10.28515625" style="17" customWidth="1"/>
    <col min="11529" max="11759" width="9.140625" style="17"/>
    <col min="11760" max="11760" width="7.140625" style="17" customWidth="1"/>
    <col min="11761" max="11761" width="54.5703125" style="17" customWidth="1"/>
    <col min="11762" max="11762" width="19.85546875" style="17" customWidth="1"/>
    <col min="11763" max="11763" width="18" style="17" customWidth="1"/>
    <col min="11764" max="11764" width="20.85546875" style="17" bestFit="1" customWidth="1"/>
    <col min="11765" max="11765" width="17.42578125" style="17" customWidth="1"/>
    <col min="11766" max="11766" width="16.5703125" style="17" customWidth="1"/>
    <col min="11767" max="11767" width="20.42578125" style="17" customWidth="1"/>
    <col min="11768" max="11768" width="21.140625" style="17" customWidth="1"/>
    <col min="11769" max="11778" width="0" style="17" hidden="1" customWidth="1"/>
    <col min="11779" max="11779" width="19" style="17" customWidth="1"/>
    <col min="11780" max="11780" width="12" style="17" customWidth="1"/>
    <col min="11781" max="11783" width="9.140625" style="17"/>
    <col min="11784" max="11784" width="10.28515625" style="17" customWidth="1"/>
    <col min="11785" max="12015" width="9.140625" style="17"/>
    <col min="12016" max="12016" width="7.140625" style="17" customWidth="1"/>
    <col min="12017" max="12017" width="54.5703125" style="17" customWidth="1"/>
    <col min="12018" max="12018" width="19.85546875" style="17" customWidth="1"/>
    <col min="12019" max="12019" width="18" style="17" customWidth="1"/>
    <col min="12020" max="12020" width="20.85546875" style="17" bestFit="1" customWidth="1"/>
    <col min="12021" max="12021" width="17.42578125" style="17" customWidth="1"/>
    <col min="12022" max="12022" width="16.5703125" style="17" customWidth="1"/>
    <col min="12023" max="12023" width="20.42578125" style="17" customWidth="1"/>
    <col min="12024" max="12024" width="21.140625" style="17" customWidth="1"/>
    <col min="12025" max="12034" width="0" style="17" hidden="1" customWidth="1"/>
    <col min="12035" max="12035" width="19" style="17" customWidth="1"/>
    <col min="12036" max="12036" width="12" style="17" customWidth="1"/>
    <col min="12037" max="12039" width="9.140625" style="17"/>
    <col min="12040" max="12040" width="10.28515625" style="17" customWidth="1"/>
    <col min="12041" max="12271" width="9.140625" style="17"/>
    <col min="12272" max="12272" width="7.140625" style="17" customWidth="1"/>
    <col min="12273" max="12273" width="54.5703125" style="17" customWidth="1"/>
    <col min="12274" max="12274" width="19.85546875" style="17" customWidth="1"/>
    <col min="12275" max="12275" width="18" style="17" customWidth="1"/>
    <col min="12276" max="12276" width="20.85546875" style="17" bestFit="1" customWidth="1"/>
    <col min="12277" max="12277" width="17.42578125" style="17" customWidth="1"/>
    <col min="12278" max="12278" width="16.5703125" style="17" customWidth="1"/>
    <col min="12279" max="12279" width="20.42578125" style="17" customWidth="1"/>
    <col min="12280" max="12280" width="21.140625" style="17" customWidth="1"/>
    <col min="12281" max="12290" width="0" style="17" hidden="1" customWidth="1"/>
    <col min="12291" max="12291" width="19" style="17" customWidth="1"/>
    <col min="12292" max="12292" width="12" style="17" customWidth="1"/>
    <col min="12293" max="12295" width="9.140625" style="17"/>
    <col min="12296" max="12296" width="10.28515625" style="17" customWidth="1"/>
    <col min="12297" max="12527" width="9.140625" style="17"/>
    <col min="12528" max="12528" width="7.140625" style="17" customWidth="1"/>
    <col min="12529" max="12529" width="54.5703125" style="17" customWidth="1"/>
    <col min="12530" max="12530" width="19.85546875" style="17" customWidth="1"/>
    <col min="12531" max="12531" width="18" style="17" customWidth="1"/>
    <col min="12532" max="12532" width="20.85546875" style="17" bestFit="1" customWidth="1"/>
    <col min="12533" max="12533" width="17.42578125" style="17" customWidth="1"/>
    <col min="12534" max="12534" width="16.5703125" style="17" customWidth="1"/>
    <col min="12535" max="12535" width="20.42578125" style="17" customWidth="1"/>
    <col min="12536" max="12536" width="21.140625" style="17" customWidth="1"/>
    <col min="12537" max="12546" width="0" style="17" hidden="1" customWidth="1"/>
    <col min="12547" max="12547" width="19" style="17" customWidth="1"/>
    <col min="12548" max="12548" width="12" style="17" customWidth="1"/>
    <col min="12549" max="12551" width="9.140625" style="17"/>
    <col min="12552" max="12552" width="10.28515625" style="17" customWidth="1"/>
    <col min="12553" max="12783" width="9.140625" style="17"/>
    <col min="12784" max="12784" width="7.140625" style="17" customWidth="1"/>
    <col min="12785" max="12785" width="54.5703125" style="17" customWidth="1"/>
    <col min="12786" max="12786" width="19.85546875" style="17" customWidth="1"/>
    <col min="12787" max="12787" width="18" style="17" customWidth="1"/>
    <col min="12788" max="12788" width="20.85546875" style="17" bestFit="1" customWidth="1"/>
    <col min="12789" max="12789" width="17.42578125" style="17" customWidth="1"/>
    <col min="12790" max="12790" width="16.5703125" style="17" customWidth="1"/>
    <col min="12791" max="12791" width="20.42578125" style="17" customWidth="1"/>
    <col min="12792" max="12792" width="21.140625" style="17" customWidth="1"/>
    <col min="12793" max="12802" width="0" style="17" hidden="1" customWidth="1"/>
    <col min="12803" max="12803" width="19" style="17" customWidth="1"/>
    <col min="12804" max="12804" width="12" style="17" customWidth="1"/>
    <col min="12805" max="12807" width="9.140625" style="17"/>
    <col min="12808" max="12808" width="10.28515625" style="17" customWidth="1"/>
    <col min="12809" max="13039" width="9.140625" style="17"/>
    <col min="13040" max="13040" width="7.140625" style="17" customWidth="1"/>
    <col min="13041" max="13041" width="54.5703125" style="17" customWidth="1"/>
    <col min="13042" max="13042" width="19.85546875" style="17" customWidth="1"/>
    <col min="13043" max="13043" width="18" style="17" customWidth="1"/>
    <col min="13044" max="13044" width="20.85546875" style="17" bestFit="1" customWidth="1"/>
    <col min="13045" max="13045" width="17.42578125" style="17" customWidth="1"/>
    <col min="13046" max="13046" width="16.5703125" style="17" customWidth="1"/>
    <col min="13047" max="13047" width="20.42578125" style="17" customWidth="1"/>
    <col min="13048" max="13048" width="21.140625" style="17" customWidth="1"/>
    <col min="13049" max="13058" width="0" style="17" hidden="1" customWidth="1"/>
    <col min="13059" max="13059" width="19" style="17" customWidth="1"/>
    <col min="13060" max="13060" width="12" style="17" customWidth="1"/>
    <col min="13061" max="13063" width="9.140625" style="17"/>
    <col min="13064" max="13064" width="10.28515625" style="17" customWidth="1"/>
    <col min="13065" max="13295" width="9.140625" style="17"/>
    <col min="13296" max="13296" width="7.140625" style="17" customWidth="1"/>
    <col min="13297" max="13297" width="54.5703125" style="17" customWidth="1"/>
    <col min="13298" max="13298" width="19.85546875" style="17" customWidth="1"/>
    <col min="13299" max="13299" width="18" style="17" customWidth="1"/>
    <col min="13300" max="13300" width="20.85546875" style="17" bestFit="1" customWidth="1"/>
    <col min="13301" max="13301" width="17.42578125" style="17" customWidth="1"/>
    <col min="13302" max="13302" width="16.5703125" style="17" customWidth="1"/>
    <col min="13303" max="13303" width="20.42578125" style="17" customWidth="1"/>
    <col min="13304" max="13304" width="21.140625" style="17" customWidth="1"/>
    <col min="13305" max="13314" width="0" style="17" hidden="1" customWidth="1"/>
    <col min="13315" max="13315" width="19" style="17" customWidth="1"/>
    <col min="13316" max="13316" width="12" style="17" customWidth="1"/>
    <col min="13317" max="13319" width="9.140625" style="17"/>
    <col min="13320" max="13320" width="10.28515625" style="17" customWidth="1"/>
    <col min="13321" max="13551" width="9.140625" style="17"/>
    <col min="13552" max="13552" width="7.140625" style="17" customWidth="1"/>
    <col min="13553" max="13553" width="54.5703125" style="17" customWidth="1"/>
    <col min="13554" max="13554" width="19.85546875" style="17" customWidth="1"/>
    <col min="13555" max="13555" width="18" style="17" customWidth="1"/>
    <col min="13556" max="13556" width="20.85546875" style="17" bestFit="1" customWidth="1"/>
    <col min="13557" max="13557" width="17.42578125" style="17" customWidth="1"/>
    <col min="13558" max="13558" width="16.5703125" style="17" customWidth="1"/>
    <col min="13559" max="13559" width="20.42578125" style="17" customWidth="1"/>
    <col min="13560" max="13560" width="21.140625" style="17" customWidth="1"/>
    <col min="13561" max="13570" width="0" style="17" hidden="1" customWidth="1"/>
    <col min="13571" max="13571" width="19" style="17" customWidth="1"/>
    <col min="13572" max="13572" width="12" style="17" customWidth="1"/>
    <col min="13573" max="13575" width="9.140625" style="17"/>
    <col min="13576" max="13576" width="10.28515625" style="17" customWidth="1"/>
    <col min="13577" max="13807" width="9.140625" style="17"/>
    <col min="13808" max="13808" width="7.140625" style="17" customWidth="1"/>
    <col min="13809" max="13809" width="54.5703125" style="17" customWidth="1"/>
    <col min="13810" max="13810" width="19.85546875" style="17" customWidth="1"/>
    <col min="13811" max="13811" width="18" style="17" customWidth="1"/>
    <col min="13812" max="13812" width="20.85546875" style="17" bestFit="1" customWidth="1"/>
    <col min="13813" max="13813" width="17.42578125" style="17" customWidth="1"/>
    <col min="13814" max="13814" width="16.5703125" style="17" customWidth="1"/>
    <col min="13815" max="13815" width="20.42578125" style="17" customWidth="1"/>
    <col min="13816" max="13816" width="21.140625" style="17" customWidth="1"/>
    <col min="13817" max="13826" width="0" style="17" hidden="1" customWidth="1"/>
    <col min="13827" max="13827" width="19" style="17" customWidth="1"/>
    <col min="13828" max="13828" width="12" style="17" customWidth="1"/>
    <col min="13829" max="13831" width="9.140625" style="17"/>
    <col min="13832" max="13832" width="10.28515625" style="17" customWidth="1"/>
    <col min="13833" max="14063" width="9.140625" style="17"/>
    <col min="14064" max="14064" width="7.140625" style="17" customWidth="1"/>
    <col min="14065" max="14065" width="54.5703125" style="17" customWidth="1"/>
    <col min="14066" max="14066" width="19.85546875" style="17" customWidth="1"/>
    <col min="14067" max="14067" width="18" style="17" customWidth="1"/>
    <col min="14068" max="14068" width="20.85546875" style="17" bestFit="1" customWidth="1"/>
    <col min="14069" max="14069" width="17.42578125" style="17" customWidth="1"/>
    <col min="14070" max="14070" width="16.5703125" style="17" customWidth="1"/>
    <col min="14071" max="14071" width="20.42578125" style="17" customWidth="1"/>
    <col min="14072" max="14072" width="21.140625" style="17" customWidth="1"/>
    <col min="14073" max="14082" width="0" style="17" hidden="1" customWidth="1"/>
    <col min="14083" max="14083" width="19" style="17" customWidth="1"/>
    <col min="14084" max="14084" width="12" style="17" customWidth="1"/>
    <col min="14085" max="14087" width="9.140625" style="17"/>
    <col min="14088" max="14088" width="10.28515625" style="17" customWidth="1"/>
    <col min="14089" max="14319" width="9.140625" style="17"/>
    <col min="14320" max="14320" width="7.140625" style="17" customWidth="1"/>
    <col min="14321" max="14321" width="54.5703125" style="17" customWidth="1"/>
    <col min="14322" max="14322" width="19.85546875" style="17" customWidth="1"/>
    <col min="14323" max="14323" width="18" style="17" customWidth="1"/>
    <col min="14324" max="14324" width="20.85546875" style="17" bestFit="1" customWidth="1"/>
    <col min="14325" max="14325" width="17.42578125" style="17" customWidth="1"/>
    <col min="14326" max="14326" width="16.5703125" style="17" customWidth="1"/>
    <col min="14327" max="14327" width="20.42578125" style="17" customWidth="1"/>
    <col min="14328" max="14328" width="21.140625" style="17" customWidth="1"/>
    <col min="14329" max="14338" width="0" style="17" hidden="1" customWidth="1"/>
    <col min="14339" max="14339" width="19" style="17" customWidth="1"/>
    <col min="14340" max="14340" width="12" style="17" customWidth="1"/>
    <col min="14341" max="14343" width="9.140625" style="17"/>
    <col min="14344" max="14344" width="10.28515625" style="17" customWidth="1"/>
    <col min="14345" max="14575" width="9.140625" style="17"/>
    <col min="14576" max="14576" width="7.140625" style="17" customWidth="1"/>
    <col min="14577" max="14577" width="54.5703125" style="17" customWidth="1"/>
    <col min="14578" max="14578" width="19.85546875" style="17" customWidth="1"/>
    <col min="14579" max="14579" width="18" style="17" customWidth="1"/>
    <col min="14580" max="14580" width="20.85546875" style="17" bestFit="1" customWidth="1"/>
    <col min="14581" max="14581" width="17.42578125" style="17" customWidth="1"/>
    <col min="14582" max="14582" width="16.5703125" style="17" customWidth="1"/>
    <col min="14583" max="14583" width="20.42578125" style="17" customWidth="1"/>
    <col min="14584" max="14584" width="21.140625" style="17" customWidth="1"/>
    <col min="14585" max="14594" width="0" style="17" hidden="1" customWidth="1"/>
    <col min="14595" max="14595" width="19" style="17" customWidth="1"/>
    <col min="14596" max="14596" width="12" style="17" customWidth="1"/>
    <col min="14597" max="14599" width="9.140625" style="17"/>
    <col min="14600" max="14600" width="10.28515625" style="17" customWidth="1"/>
    <col min="14601" max="14831" width="9.140625" style="17"/>
    <col min="14832" max="14832" width="7.140625" style="17" customWidth="1"/>
    <col min="14833" max="14833" width="54.5703125" style="17" customWidth="1"/>
    <col min="14834" max="14834" width="19.85546875" style="17" customWidth="1"/>
    <col min="14835" max="14835" width="18" style="17" customWidth="1"/>
    <col min="14836" max="14836" width="20.85546875" style="17" bestFit="1" customWidth="1"/>
    <col min="14837" max="14837" width="17.42578125" style="17" customWidth="1"/>
    <col min="14838" max="14838" width="16.5703125" style="17" customWidth="1"/>
    <col min="14839" max="14839" width="20.42578125" style="17" customWidth="1"/>
    <col min="14840" max="14840" width="21.140625" style="17" customWidth="1"/>
    <col min="14841" max="14850" width="0" style="17" hidden="1" customWidth="1"/>
    <col min="14851" max="14851" width="19" style="17" customWidth="1"/>
    <col min="14852" max="14852" width="12" style="17" customWidth="1"/>
    <col min="14853" max="14855" width="9.140625" style="17"/>
    <col min="14856" max="14856" width="10.28515625" style="17" customWidth="1"/>
    <col min="14857" max="15087" width="9.140625" style="17"/>
    <col min="15088" max="15088" width="7.140625" style="17" customWidth="1"/>
    <col min="15089" max="15089" width="54.5703125" style="17" customWidth="1"/>
    <col min="15090" max="15090" width="19.85546875" style="17" customWidth="1"/>
    <col min="15091" max="15091" width="18" style="17" customWidth="1"/>
    <col min="15092" max="15092" width="20.85546875" style="17" bestFit="1" customWidth="1"/>
    <col min="15093" max="15093" width="17.42578125" style="17" customWidth="1"/>
    <col min="15094" max="15094" width="16.5703125" style="17" customWidth="1"/>
    <col min="15095" max="15095" width="20.42578125" style="17" customWidth="1"/>
    <col min="15096" max="15096" width="21.140625" style="17" customWidth="1"/>
    <col min="15097" max="15106" width="0" style="17" hidden="1" customWidth="1"/>
    <col min="15107" max="15107" width="19" style="17" customWidth="1"/>
    <col min="15108" max="15108" width="12" style="17" customWidth="1"/>
    <col min="15109" max="15111" width="9.140625" style="17"/>
    <col min="15112" max="15112" width="10.28515625" style="17" customWidth="1"/>
    <col min="15113" max="15343" width="9.140625" style="17"/>
    <col min="15344" max="15344" width="7.140625" style="17" customWidth="1"/>
    <col min="15345" max="15345" width="54.5703125" style="17" customWidth="1"/>
    <col min="15346" max="15346" width="19.85546875" style="17" customWidth="1"/>
    <col min="15347" max="15347" width="18" style="17" customWidth="1"/>
    <col min="15348" max="15348" width="20.85546875" style="17" bestFit="1" customWidth="1"/>
    <col min="15349" max="15349" width="17.42578125" style="17" customWidth="1"/>
    <col min="15350" max="15350" width="16.5703125" style="17" customWidth="1"/>
    <col min="15351" max="15351" width="20.42578125" style="17" customWidth="1"/>
    <col min="15352" max="15352" width="21.140625" style="17" customWidth="1"/>
    <col min="15353" max="15362" width="0" style="17" hidden="1" customWidth="1"/>
    <col min="15363" max="15363" width="19" style="17" customWidth="1"/>
    <col min="15364" max="15364" width="12" style="17" customWidth="1"/>
    <col min="15365" max="15367" width="9.140625" style="17"/>
    <col min="15368" max="15368" width="10.28515625" style="17" customWidth="1"/>
    <col min="15369" max="15599" width="9.140625" style="17"/>
    <col min="15600" max="15600" width="7.140625" style="17" customWidth="1"/>
    <col min="15601" max="15601" width="54.5703125" style="17" customWidth="1"/>
    <col min="15602" max="15602" width="19.85546875" style="17" customWidth="1"/>
    <col min="15603" max="15603" width="18" style="17" customWidth="1"/>
    <col min="15604" max="15604" width="20.85546875" style="17" bestFit="1" customWidth="1"/>
    <col min="15605" max="15605" width="17.42578125" style="17" customWidth="1"/>
    <col min="15606" max="15606" width="16.5703125" style="17" customWidth="1"/>
    <col min="15607" max="15607" width="20.42578125" style="17" customWidth="1"/>
    <col min="15608" max="15608" width="21.140625" style="17" customWidth="1"/>
    <col min="15609" max="15618" width="0" style="17" hidden="1" customWidth="1"/>
    <col min="15619" max="15619" width="19" style="17" customWidth="1"/>
    <col min="15620" max="15620" width="12" style="17" customWidth="1"/>
    <col min="15621" max="15623" width="9.140625" style="17"/>
    <col min="15624" max="15624" width="10.28515625" style="17" customWidth="1"/>
    <col min="15625" max="15855" width="9.140625" style="17"/>
    <col min="15856" max="15856" width="7.140625" style="17" customWidth="1"/>
    <col min="15857" max="15857" width="54.5703125" style="17" customWidth="1"/>
    <col min="15858" max="15858" width="19.85546875" style="17" customWidth="1"/>
    <col min="15859" max="15859" width="18" style="17" customWidth="1"/>
    <col min="15860" max="15860" width="20.85546875" style="17" bestFit="1" customWidth="1"/>
    <col min="15861" max="15861" width="17.42578125" style="17" customWidth="1"/>
    <col min="15862" max="15862" width="16.5703125" style="17" customWidth="1"/>
    <col min="15863" max="15863" width="20.42578125" style="17" customWidth="1"/>
    <col min="15864" max="15864" width="21.140625" style="17" customWidth="1"/>
    <col min="15865" max="15874" width="0" style="17" hidden="1" customWidth="1"/>
    <col min="15875" max="15875" width="19" style="17" customWidth="1"/>
    <col min="15876" max="15876" width="12" style="17" customWidth="1"/>
    <col min="15877" max="15879" width="9.140625" style="17"/>
    <col min="15880" max="15880" width="10.28515625" style="17" customWidth="1"/>
    <col min="15881" max="16111" width="9.140625" style="17"/>
    <col min="16112" max="16112" width="7.140625" style="17" customWidth="1"/>
    <col min="16113" max="16113" width="54.5703125" style="17" customWidth="1"/>
    <col min="16114" max="16114" width="19.85546875" style="17" customWidth="1"/>
    <col min="16115" max="16115" width="18" style="17" customWidth="1"/>
    <col min="16116" max="16116" width="20.85546875" style="17" bestFit="1" customWidth="1"/>
    <col min="16117" max="16117" width="17.42578125" style="17" customWidth="1"/>
    <col min="16118" max="16118" width="16.5703125" style="17" customWidth="1"/>
    <col min="16119" max="16119" width="20.42578125" style="17" customWidth="1"/>
    <col min="16120" max="16120" width="21.140625" style="17" customWidth="1"/>
    <col min="16121" max="16130" width="0" style="17" hidden="1" customWidth="1"/>
    <col min="16131" max="16131" width="19" style="17" customWidth="1"/>
    <col min="16132" max="16132" width="12" style="17" customWidth="1"/>
    <col min="16133" max="16135" width="9.140625" style="17"/>
    <col min="16136" max="16136" width="10.28515625" style="17" customWidth="1"/>
    <col min="16137" max="16384" width="9.140625" style="17"/>
  </cols>
  <sheetData>
    <row r="2" spans="1:17" ht="23.25" x14ac:dyDescent="0.35">
      <c r="C2" s="598" t="s">
        <v>21</v>
      </c>
      <c r="D2" s="598"/>
      <c r="E2" s="598"/>
      <c r="F2" s="598"/>
      <c r="G2" s="598"/>
      <c r="H2" s="598"/>
      <c r="I2" s="598"/>
      <c r="J2" s="598"/>
      <c r="K2" s="598"/>
      <c r="L2" s="598"/>
    </row>
    <row r="3" spans="1:17" ht="25.5" customHeight="1" x14ac:dyDescent="0.35">
      <c r="C3" s="598" t="s">
        <v>298</v>
      </c>
      <c r="D3" s="598"/>
      <c r="E3" s="598"/>
      <c r="F3" s="598"/>
      <c r="G3" s="598"/>
      <c r="H3" s="598"/>
      <c r="I3" s="598"/>
      <c r="J3" s="598"/>
      <c r="K3" s="598"/>
      <c r="L3" s="598"/>
    </row>
    <row r="4" spans="1:17" x14ac:dyDescent="0.25">
      <c r="C4" s="605"/>
      <c r="D4" s="605"/>
      <c r="E4" s="605"/>
      <c r="F4" s="605"/>
      <c r="G4" s="605"/>
      <c r="H4" s="605"/>
      <c r="I4" s="605"/>
      <c r="J4" s="605"/>
      <c r="K4" s="605"/>
      <c r="L4" s="605"/>
    </row>
    <row r="5" spans="1:17" ht="6.75" customHeight="1" thickBot="1" x14ac:dyDescent="0.3">
      <c r="C5" s="19"/>
      <c r="D5" s="20"/>
      <c r="E5" s="21"/>
      <c r="F5" s="22"/>
      <c r="G5" s="21"/>
    </row>
    <row r="6" spans="1:17" ht="54.75" thickBot="1" x14ac:dyDescent="0.3">
      <c r="C6" s="261" t="s">
        <v>145</v>
      </c>
      <c r="D6" s="262" t="s">
        <v>22</v>
      </c>
      <c r="E6" s="262" t="s">
        <v>23</v>
      </c>
      <c r="F6" s="262" t="s">
        <v>24</v>
      </c>
      <c r="G6" s="262" t="s">
        <v>109</v>
      </c>
      <c r="H6" s="262" t="s">
        <v>25</v>
      </c>
      <c r="I6" s="262" t="s">
        <v>26</v>
      </c>
      <c r="J6" s="262" t="s">
        <v>107</v>
      </c>
      <c r="K6" s="262" t="s">
        <v>27</v>
      </c>
      <c r="L6" s="263" t="s">
        <v>28</v>
      </c>
      <c r="P6" s="129" t="s">
        <v>24</v>
      </c>
    </row>
    <row r="7" spans="1:17" ht="24" customHeight="1" thickBot="1" x14ac:dyDescent="0.3">
      <c r="C7" s="602" t="s">
        <v>29</v>
      </c>
      <c r="D7" s="602"/>
      <c r="E7" s="602"/>
      <c r="F7" s="602"/>
      <c r="G7" s="602"/>
      <c r="H7" s="602"/>
      <c r="I7" s="602"/>
      <c r="J7" s="602"/>
      <c r="K7" s="602"/>
      <c r="L7" s="602"/>
      <c r="Q7" s="17">
        <v>2018</v>
      </c>
    </row>
    <row r="8" spans="1:17" ht="18.75" thickBot="1" x14ac:dyDescent="0.3">
      <c r="A8" s="23"/>
      <c r="B8" s="23"/>
      <c r="C8" s="177" t="s">
        <v>9</v>
      </c>
      <c r="D8" s="247">
        <v>50000</v>
      </c>
      <c r="E8" s="247">
        <v>100</v>
      </c>
      <c r="F8" s="247">
        <v>5000</v>
      </c>
      <c r="G8" s="247">
        <v>0</v>
      </c>
      <c r="H8" s="247">
        <f>M8-D8-E8-F8-G8-I8-J8-K8</f>
        <v>244600.75177892495</v>
      </c>
      <c r="I8" s="247">
        <v>13000</v>
      </c>
      <c r="J8" s="247">
        <v>2000</v>
      </c>
      <c r="K8" s="247">
        <v>3000</v>
      </c>
      <c r="L8" s="248">
        <f>SUM(D8:K8)</f>
        <v>317700.75177892495</v>
      </c>
      <c r="M8" s="109">
        <f>'ES CT Gas Table A'!L13</f>
        <v>317700.75177892495</v>
      </c>
      <c r="N8" s="109">
        <f t="shared" ref="N8:N13" si="0">M8-L8</f>
        <v>0</v>
      </c>
      <c r="O8" s="17">
        <f>H8/L8</f>
        <v>0.76990926338484933</v>
      </c>
      <c r="P8" s="128">
        <v>2.6262419224533379E-4</v>
      </c>
      <c r="Q8" s="130">
        <v>-39.575102153641595</v>
      </c>
    </row>
    <row r="9" spans="1:17" ht="21.75" customHeight="1" thickBot="1" x14ac:dyDescent="0.3">
      <c r="A9" s="23"/>
      <c r="B9" s="23"/>
      <c r="C9" s="349" t="s">
        <v>275</v>
      </c>
      <c r="D9" s="247">
        <f>438204.23*1.03*1.03-200000</f>
        <v>264890.86760700005</v>
      </c>
      <c r="E9" s="247">
        <v>500</v>
      </c>
      <c r="F9" s="247">
        <v>400000</v>
      </c>
      <c r="G9" s="247">
        <f>16000+8963</f>
        <v>24963</v>
      </c>
      <c r="H9" s="247">
        <f>M9-D9-E9-F9-G9-I9-J9-K9</f>
        <v>2393816.5186380399</v>
      </c>
      <c r="I9" s="247">
        <v>170000</v>
      </c>
      <c r="J9" s="247">
        <v>7000</v>
      </c>
      <c r="K9" s="247">
        <v>5000</v>
      </c>
      <c r="L9" s="248">
        <f>SUM(D9:K9)</f>
        <v>3266170.3862450402</v>
      </c>
      <c r="M9" s="109">
        <f>'ES CT Gas Table A'!L14</f>
        <v>3266170.3862450402</v>
      </c>
      <c r="N9" s="109">
        <f t="shared" si="0"/>
        <v>0</v>
      </c>
      <c r="O9" s="17">
        <f t="shared" ref="O9:O46" si="1">H9/L9</f>
        <v>0.73291232102257109</v>
      </c>
      <c r="P9" s="128">
        <v>8.7541397415111261E-3</v>
      </c>
      <c r="Q9" s="130">
        <v>-1319.1700717880531</v>
      </c>
    </row>
    <row r="10" spans="1:17" ht="23.25" customHeight="1" thickBot="1" x14ac:dyDescent="0.3">
      <c r="A10" s="23"/>
      <c r="B10" s="23"/>
      <c r="C10" s="349" t="s">
        <v>347</v>
      </c>
      <c r="D10" s="247">
        <f>76685.56*1.03*1.03</f>
        <v>81355.710604000007</v>
      </c>
      <c r="E10" s="247">
        <v>484</v>
      </c>
      <c r="F10" s="247">
        <f>240000+60000</f>
        <v>300000</v>
      </c>
      <c r="G10" s="247">
        <v>0</v>
      </c>
      <c r="H10" s="247">
        <f>M10-D10-E10-F10-G10-I10-J10-K10</f>
        <v>2538713.1628690502</v>
      </c>
      <c r="I10" s="247">
        <f>4000+16000+100000</f>
        <v>120000</v>
      </c>
      <c r="J10" s="247">
        <v>100</v>
      </c>
      <c r="K10" s="247">
        <v>1000</v>
      </c>
      <c r="L10" s="248">
        <f>SUM(D10:K10)</f>
        <v>3041652.8734730501</v>
      </c>
      <c r="M10" s="109">
        <f>'ES CT Gas Table A'!L15</f>
        <v>3041652.8734730501</v>
      </c>
      <c r="N10" s="109">
        <f t="shared" si="0"/>
        <v>0</v>
      </c>
      <c r="O10" s="17">
        <f t="shared" si="1"/>
        <v>0.83464920833332035</v>
      </c>
      <c r="P10" s="128">
        <v>2.6700126211608934E-3</v>
      </c>
      <c r="Q10" s="130">
        <v>-402.34687189535617</v>
      </c>
    </row>
    <row r="11" spans="1:17" ht="18.75" thickBot="1" x14ac:dyDescent="0.3">
      <c r="A11" s="23"/>
      <c r="B11" s="23"/>
      <c r="C11" s="177" t="s">
        <v>219</v>
      </c>
      <c r="D11" s="247">
        <f>442788.991956*1.03*1.03</f>
        <v>469754.84156612039</v>
      </c>
      <c r="E11" s="247">
        <v>500</v>
      </c>
      <c r="F11" s="247">
        <v>164000</v>
      </c>
      <c r="G11" s="247">
        <f>25000+8964</f>
        <v>33964</v>
      </c>
      <c r="H11" s="247">
        <f>M11-D11-E11-F11-G11-I11-J11-K11</f>
        <v>4114001.8566195294</v>
      </c>
      <c r="I11" s="247">
        <f>150000+100000</f>
        <v>250000</v>
      </c>
      <c r="J11" s="247">
        <f>6000</f>
        <v>6000</v>
      </c>
      <c r="K11" s="247">
        <v>8000</v>
      </c>
      <c r="L11" s="265">
        <f>SUM(D11:K11)</f>
        <v>5046220.6981856497</v>
      </c>
      <c r="M11" s="109">
        <f>'ES CT Gas Table A'!L16</f>
        <v>5046220.6981856497</v>
      </c>
      <c r="N11" s="109">
        <f t="shared" si="0"/>
        <v>0</v>
      </c>
      <c r="O11" s="17">
        <f t="shared" si="1"/>
        <v>0.81526395746002622</v>
      </c>
      <c r="P11" s="128">
        <v>8.9292225363413484E-4</v>
      </c>
      <c r="Q11" s="130">
        <v>-134.55534732238141</v>
      </c>
    </row>
    <row r="12" spans="1:17" ht="19.5" customHeight="1" thickBot="1" x14ac:dyDescent="0.3">
      <c r="A12" s="23"/>
      <c r="B12" s="23"/>
      <c r="C12" s="177" t="s">
        <v>124</v>
      </c>
      <c r="D12" s="247">
        <v>0</v>
      </c>
      <c r="E12" s="247">
        <v>0</v>
      </c>
      <c r="F12" s="247">
        <f>M12-D12-E12-G12-H12-I12-J12-K12</f>
        <v>10000</v>
      </c>
      <c r="G12" s="247">
        <v>0</v>
      </c>
      <c r="H12" s="247">
        <v>0</v>
      </c>
      <c r="I12" s="247">
        <v>0</v>
      </c>
      <c r="J12" s="247">
        <v>0</v>
      </c>
      <c r="K12" s="247">
        <v>0</v>
      </c>
      <c r="L12" s="265">
        <f>SUM(D12:K12)</f>
        <v>10000</v>
      </c>
      <c r="M12" s="109">
        <f>'ES CT Gas Table A'!L17</f>
        <v>10000</v>
      </c>
      <c r="N12" s="109">
        <f t="shared" si="0"/>
        <v>0</v>
      </c>
      <c r="O12" s="17">
        <f t="shared" si="1"/>
        <v>0</v>
      </c>
      <c r="P12" s="128">
        <v>2.1775982572866157E-2</v>
      </c>
      <c r="Q12" s="130">
        <v>-3281.4445898877739</v>
      </c>
    </row>
    <row r="13" spans="1:17" ht="24.75" customHeight="1" thickBot="1" x14ac:dyDescent="0.3">
      <c r="A13" s="24"/>
      <c r="B13" s="24"/>
      <c r="C13" s="453" t="s">
        <v>213</v>
      </c>
      <c r="D13" s="264">
        <f>SUM(D8:D12)</f>
        <v>866001.41977712046</v>
      </c>
      <c r="E13" s="264">
        <f t="shared" ref="E13:L13" si="2">SUM(E8:E12)</f>
        <v>1584</v>
      </c>
      <c r="F13" s="264">
        <f t="shared" si="2"/>
        <v>879000</v>
      </c>
      <c r="G13" s="264">
        <f t="shared" si="2"/>
        <v>58927</v>
      </c>
      <c r="H13" s="264">
        <f t="shared" si="2"/>
        <v>9291132.2899055444</v>
      </c>
      <c r="I13" s="264">
        <f t="shared" si="2"/>
        <v>553000</v>
      </c>
      <c r="J13" s="264">
        <f t="shared" si="2"/>
        <v>15100</v>
      </c>
      <c r="K13" s="264">
        <f t="shared" si="2"/>
        <v>17000</v>
      </c>
      <c r="L13" s="264">
        <f t="shared" si="2"/>
        <v>11681744.709682666</v>
      </c>
      <c r="M13" s="109">
        <f>'ES CT Gas Table A'!L18</f>
        <v>11681744.709682666</v>
      </c>
      <c r="N13" s="109">
        <f t="shared" si="0"/>
        <v>0</v>
      </c>
      <c r="O13" s="17">
        <f t="shared" si="1"/>
        <v>0.79535484816787594</v>
      </c>
      <c r="Q13" s="130"/>
    </row>
    <row r="14" spans="1:17" ht="24" customHeight="1" thickBot="1" x14ac:dyDescent="0.3">
      <c r="A14" s="24"/>
      <c r="B14" s="24"/>
      <c r="C14" s="606" t="s">
        <v>101</v>
      </c>
      <c r="D14" s="606"/>
      <c r="E14" s="606"/>
      <c r="F14" s="606"/>
      <c r="G14" s="606"/>
      <c r="H14" s="606"/>
      <c r="I14" s="606"/>
      <c r="J14" s="606"/>
      <c r="K14" s="606"/>
      <c r="L14" s="606"/>
      <c r="Q14" s="130"/>
    </row>
    <row r="15" spans="1:17" ht="22.5" customHeight="1" thickBot="1" x14ac:dyDescent="0.3">
      <c r="A15" s="23"/>
      <c r="B15" s="23"/>
      <c r="C15" s="246" t="s">
        <v>30</v>
      </c>
      <c r="D15" s="247">
        <f>231695.579809185*1.03*1.03</f>
        <v>245805.84061956438</v>
      </c>
      <c r="E15" s="247">
        <v>500</v>
      </c>
      <c r="F15" s="247">
        <v>512000</v>
      </c>
      <c r="G15" s="247">
        <f>22956</f>
        <v>22956</v>
      </c>
      <c r="H15" s="247">
        <f>M15-D15-E15-F15-G15-I15-J15-K15</f>
        <v>3337281.2603260153</v>
      </c>
      <c r="I15" s="247">
        <v>40000</v>
      </c>
      <c r="J15" s="247">
        <v>1000</v>
      </c>
      <c r="K15" s="247">
        <v>1000</v>
      </c>
      <c r="L15" s="248">
        <f>SUM(D15:K15)</f>
        <v>4160543.1009455798</v>
      </c>
      <c r="M15" s="109">
        <f>'ES CT Gas Table A'!L20</f>
        <v>4160543.1009455798</v>
      </c>
      <c r="N15" s="109">
        <f>M15-L15</f>
        <v>0</v>
      </c>
      <c r="O15" s="17">
        <f t="shared" si="1"/>
        <v>0.80212635210233507</v>
      </c>
      <c r="P15" s="128">
        <v>2.6029121400422107E-3</v>
      </c>
      <c r="Q15" s="130">
        <v>-392.23543329510079</v>
      </c>
    </row>
    <row r="16" spans="1:17" ht="27" customHeight="1" x14ac:dyDescent="0.25">
      <c r="A16" s="23"/>
      <c r="B16" s="23"/>
      <c r="C16" s="249" t="s">
        <v>31</v>
      </c>
      <c r="D16" s="242">
        <f>675668.67*1.03*1.03</f>
        <v>716816.89200300002</v>
      </c>
      <c r="E16" s="242">
        <v>500</v>
      </c>
      <c r="F16" s="242">
        <v>100000</v>
      </c>
      <c r="G16" s="242">
        <v>22320</v>
      </c>
      <c r="H16" s="242">
        <f>M16-D16-E16-F16-G16-I16-J16-K16</f>
        <v>2935427.6489425804</v>
      </c>
      <c r="I16" s="242">
        <v>42000</v>
      </c>
      <c r="J16" s="242">
        <v>6000</v>
      </c>
      <c r="K16" s="242">
        <v>2000</v>
      </c>
      <c r="L16" s="243">
        <f>SUM(D16:K16)</f>
        <v>3825064.5409455802</v>
      </c>
      <c r="M16" s="109">
        <f>'ES CT Gas Table A'!L21</f>
        <v>3825064.5409455802</v>
      </c>
      <c r="N16" s="109">
        <f>M16-L16</f>
        <v>0</v>
      </c>
      <c r="O16" s="17">
        <f t="shared" si="1"/>
        <v>0.76741911607507785</v>
      </c>
      <c r="P16" s="128">
        <v>3.063948909528894E-3</v>
      </c>
      <c r="Q16" s="130">
        <v>-461.70952512581857</v>
      </c>
    </row>
    <row r="17" spans="1:17" ht="39" customHeight="1" thickBot="1" x14ac:dyDescent="0.3">
      <c r="A17" s="23"/>
      <c r="B17" s="23"/>
      <c r="C17" s="269" t="s">
        <v>276</v>
      </c>
      <c r="D17" s="245">
        <f>84458.97*1.03*1.03</f>
        <v>89602.521273000006</v>
      </c>
      <c r="E17" s="245">
        <v>100</v>
      </c>
      <c r="F17" s="245">
        <v>110000</v>
      </c>
      <c r="G17" s="245">
        <v>837</v>
      </c>
      <c r="H17" s="245">
        <f>M17-D17-E17-F17-G17-I17-J17-K17</f>
        <v>489832.19247075997</v>
      </c>
      <c r="I17" s="245">
        <v>16000</v>
      </c>
      <c r="J17" s="245">
        <v>1000</v>
      </c>
      <c r="K17" s="245">
        <v>1000</v>
      </c>
      <c r="L17" s="250">
        <f>SUM(D17:K17)</f>
        <v>708371.71374376002</v>
      </c>
      <c r="M17" s="109">
        <f>'ES CT Gas Table A'!L22</f>
        <v>708371.71374376002</v>
      </c>
      <c r="N17" s="109">
        <f>M17-L17</f>
        <v>0</v>
      </c>
      <c r="O17" s="17">
        <f t="shared" si="1"/>
        <v>0.69149033334770826</v>
      </c>
      <c r="P17" s="128">
        <v>1.7508279483022253E-3</v>
      </c>
      <c r="Q17" s="130">
        <v>-263.83401435761061</v>
      </c>
    </row>
    <row r="18" spans="1:17" ht="24.75" customHeight="1" thickBot="1" x14ac:dyDescent="0.3">
      <c r="A18" s="24"/>
      <c r="B18" s="24"/>
      <c r="C18" s="251" t="s">
        <v>11</v>
      </c>
      <c r="D18" s="252">
        <f>59938.79*1.03*1.03</f>
        <v>63589.062311000009</v>
      </c>
      <c r="E18" s="252">
        <v>500</v>
      </c>
      <c r="F18" s="252">
        <v>26000</v>
      </c>
      <c r="G18" s="252">
        <v>0</v>
      </c>
      <c r="H18" s="244">
        <f>M18-D18-E18-F18-J18-K18-G18-I18</f>
        <v>602043.55417311005</v>
      </c>
      <c r="I18" s="252">
        <v>38000</v>
      </c>
      <c r="J18" s="252">
        <v>1000</v>
      </c>
      <c r="K18" s="252">
        <f>2000</f>
        <v>2000</v>
      </c>
      <c r="L18" s="252">
        <f>SUM(D18:K18)</f>
        <v>733132.61648411001</v>
      </c>
      <c r="M18" s="109">
        <f>'ES CT Gas Table A'!L23</f>
        <v>733132.61648411001</v>
      </c>
      <c r="N18" s="109">
        <f>M18-L18</f>
        <v>0</v>
      </c>
      <c r="O18" s="17">
        <f t="shared" si="1"/>
        <v>0.82119324749229572</v>
      </c>
      <c r="P18" s="128">
        <v>3.0639489095288941E-4</v>
      </c>
      <c r="Q18" s="130">
        <v>-46.170952512581856</v>
      </c>
    </row>
    <row r="19" spans="1:17" ht="19.5" customHeight="1" thickBot="1" x14ac:dyDescent="0.3">
      <c r="A19" s="24"/>
      <c r="B19" s="24"/>
      <c r="C19" s="453" t="s">
        <v>227</v>
      </c>
      <c r="D19" s="264">
        <f>SUM(D15:D18)</f>
        <v>1115814.3162065644</v>
      </c>
      <c r="E19" s="264">
        <f t="shared" ref="E19:L19" si="3">SUM(E15:E18)</f>
        <v>1600</v>
      </c>
      <c r="F19" s="264">
        <f t="shared" si="3"/>
        <v>748000</v>
      </c>
      <c r="G19" s="264">
        <f t="shared" si="3"/>
        <v>46113</v>
      </c>
      <c r="H19" s="264">
        <f t="shared" si="3"/>
        <v>7364584.6559124654</v>
      </c>
      <c r="I19" s="264">
        <f t="shared" si="3"/>
        <v>136000</v>
      </c>
      <c r="J19" s="264">
        <f t="shared" si="3"/>
        <v>9000</v>
      </c>
      <c r="K19" s="264">
        <f t="shared" si="3"/>
        <v>6000</v>
      </c>
      <c r="L19" s="264">
        <f t="shared" si="3"/>
        <v>9427111.9721190296</v>
      </c>
      <c r="M19" s="109">
        <f>'ES CT Gas Table A'!L24</f>
        <v>9427111.9721190296</v>
      </c>
      <c r="N19" s="109">
        <f>M19-L19</f>
        <v>0</v>
      </c>
      <c r="O19" s="17">
        <f t="shared" si="1"/>
        <v>0.78121323664060094</v>
      </c>
      <c r="P19" s="128">
        <v>4.2079765270243867E-2</v>
      </c>
      <c r="Q19" s="130">
        <v>-6341.0419083383185</v>
      </c>
    </row>
    <row r="20" spans="1:17" ht="21" customHeight="1" thickBot="1" x14ac:dyDescent="0.3">
      <c r="A20" s="23"/>
      <c r="B20" s="23"/>
      <c r="C20" s="602" t="s">
        <v>200</v>
      </c>
      <c r="D20" s="602"/>
      <c r="E20" s="602"/>
      <c r="F20" s="602"/>
      <c r="G20" s="602"/>
      <c r="H20" s="602"/>
      <c r="I20" s="602"/>
      <c r="J20" s="602"/>
      <c r="K20" s="602"/>
      <c r="L20" s="602"/>
      <c r="Q20" s="130">
        <v>-1090966</v>
      </c>
    </row>
    <row r="21" spans="1:17" ht="18" x14ac:dyDescent="0.25">
      <c r="A21" s="24"/>
      <c r="B21" s="24"/>
      <c r="C21" s="253" t="s">
        <v>294</v>
      </c>
      <c r="D21" s="455">
        <f>6924*1.03</f>
        <v>7131.72</v>
      </c>
      <c r="E21" s="455">
        <v>0</v>
      </c>
      <c r="F21" s="455">
        <f>M21-D21-E21-G21-H21-I21-J21-K21</f>
        <v>65375.95</v>
      </c>
      <c r="G21" s="455">
        <v>0</v>
      </c>
      <c r="H21" s="455">
        <v>0</v>
      </c>
      <c r="I21" s="455">
        <v>4159</v>
      </c>
      <c r="J21" s="455">
        <f>0</f>
        <v>0</v>
      </c>
      <c r="K21" s="455">
        <f>0</f>
        <v>0</v>
      </c>
      <c r="L21" s="254">
        <f>SUM(D21:K21)</f>
        <v>76666.67</v>
      </c>
      <c r="M21" s="109">
        <f>'ES CT Gas Table A'!L26</f>
        <v>76666.67</v>
      </c>
      <c r="N21" s="109">
        <f>M21-L21</f>
        <v>0</v>
      </c>
      <c r="O21" s="17">
        <f t="shared" si="1"/>
        <v>0</v>
      </c>
    </row>
    <row r="22" spans="1:17" ht="21.75" customHeight="1" x14ac:dyDescent="0.25">
      <c r="A22" s="24"/>
      <c r="B22" s="24"/>
      <c r="C22" s="255" t="s">
        <v>286</v>
      </c>
      <c r="D22" s="256">
        <f>6924*1.03</f>
        <v>7131.72</v>
      </c>
      <c r="E22" s="454">
        <v>0</v>
      </c>
      <c r="F22" s="454">
        <f>M22-D22-E22-G22-H22-I22-J22-K22</f>
        <v>75534.95</v>
      </c>
      <c r="G22" s="454">
        <v>0</v>
      </c>
      <c r="H22" s="454">
        <v>0</v>
      </c>
      <c r="I22" s="454">
        <v>0</v>
      </c>
      <c r="J22" s="454">
        <v>0</v>
      </c>
      <c r="K22" s="454">
        <v>0</v>
      </c>
      <c r="L22" s="256">
        <f>SUM(D22:K22)</f>
        <v>82666.67</v>
      </c>
      <c r="M22" s="109">
        <f>'ES CT Gas Table A'!L27</f>
        <v>82666.67</v>
      </c>
      <c r="N22" s="109">
        <f>M22-L22</f>
        <v>0</v>
      </c>
      <c r="O22" s="17">
        <f t="shared" si="1"/>
        <v>0</v>
      </c>
    </row>
    <row r="23" spans="1:17" ht="20.25" customHeight="1" x14ac:dyDescent="0.25">
      <c r="A23" s="24"/>
      <c r="B23" s="24"/>
      <c r="C23" s="257" t="s">
        <v>287</v>
      </c>
      <c r="D23" s="455">
        <f>4333*1.03</f>
        <v>4462.99</v>
      </c>
      <c r="E23" s="455">
        <v>0</v>
      </c>
      <c r="F23" s="455">
        <f>M23-D23-E23-G23-H23-I23-J23-K23</f>
        <v>67037.009999999995</v>
      </c>
      <c r="G23" s="455">
        <v>0</v>
      </c>
      <c r="H23" s="455">
        <v>0</v>
      </c>
      <c r="I23" s="455">
        <f>2000+5000</f>
        <v>7000</v>
      </c>
      <c r="J23" s="455">
        <f>0</f>
        <v>0</v>
      </c>
      <c r="K23" s="455">
        <v>1500</v>
      </c>
      <c r="L23" s="258">
        <f>SUM(D23:K23)</f>
        <v>80000</v>
      </c>
      <c r="M23" s="109">
        <f>'ES CT Gas Table A'!L28</f>
        <v>80000</v>
      </c>
      <c r="N23" s="109">
        <f>M23-L23</f>
        <v>0</v>
      </c>
      <c r="O23" s="17">
        <f t="shared" si="1"/>
        <v>0</v>
      </c>
    </row>
    <row r="24" spans="1:17" ht="18.75" thickBot="1" x14ac:dyDescent="0.3">
      <c r="A24" s="24"/>
      <c r="B24" s="24"/>
      <c r="C24" s="259" t="s">
        <v>288</v>
      </c>
      <c r="D24" s="454">
        <f>11000*1.03</f>
        <v>11330</v>
      </c>
      <c r="E24" s="454">
        <v>0</v>
      </c>
      <c r="F24" s="454">
        <f>M24-D24-E24-G24-H24-I24-J24-K24</f>
        <v>58670</v>
      </c>
      <c r="G24" s="454">
        <f>0</f>
        <v>0</v>
      </c>
      <c r="H24" s="454">
        <v>0</v>
      </c>
      <c r="I24" s="454">
        <v>0</v>
      </c>
      <c r="J24" s="454">
        <v>0</v>
      </c>
      <c r="K24" s="454">
        <v>0</v>
      </c>
      <c r="L24" s="260">
        <f>SUM(D24:K24)</f>
        <v>70000</v>
      </c>
      <c r="M24" s="109">
        <f>'ES CT Gas Table A'!L29</f>
        <v>70000</v>
      </c>
      <c r="N24" s="109">
        <f>M24-L24</f>
        <v>0</v>
      </c>
      <c r="O24" s="17">
        <f t="shared" si="1"/>
        <v>0</v>
      </c>
    </row>
    <row r="25" spans="1:17" ht="22.5" customHeight="1" thickBot="1" x14ac:dyDescent="0.3">
      <c r="A25" s="24"/>
      <c r="B25" s="24"/>
      <c r="C25" s="453" t="s">
        <v>228</v>
      </c>
      <c r="D25" s="264">
        <f t="shared" ref="D25:L25" si="4">SUM(D21:D24)</f>
        <v>30056.43</v>
      </c>
      <c r="E25" s="264">
        <f t="shared" si="4"/>
        <v>0</v>
      </c>
      <c r="F25" s="264">
        <f t="shared" si="4"/>
        <v>266617.90999999997</v>
      </c>
      <c r="G25" s="264">
        <f t="shared" si="4"/>
        <v>0</v>
      </c>
      <c r="H25" s="264">
        <f t="shared" si="4"/>
        <v>0</v>
      </c>
      <c r="I25" s="264">
        <f t="shared" si="4"/>
        <v>11159</v>
      </c>
      <c r="J25" s="264">
        <f t="shared" si="4"/>
        <v>0</v>
      </c>
      <c r="K25" s="264">
        <f t="shared" si="4"/>
        <v>1500</v>
      </c>
      <c r="L25" s="264">
        <f t="shared" si="4"/>
        <v>309333.33999999997</v>
      </c>
      <c r="M25" s="109">
        <f>'ES CT Gas Table A'!L30</f>
        <v>309333.33999999997</v>
      </c>
      <c r="N25" s="109">
        <f>M25-L25</f>
        <v>0</v>
      </c>
      <c r="O25" s="17">
        <f t="shared" si="1"/>
        <v>0</v>
      </c>
    </row>
    <row r="26" spans="1:17" s="25" customFormat="1" ht="24" customHeight="1" thickBot="1" x14ac:dyDescent="0.3">
      <c r="A26" s="24"/>
      <c r="B26" s="24"/>
      <c r="C26" s="603" t="s">
        <v>32</v>
      </c>
      <c r="D26" s="603"/>
      <c r="E26" s="603"/>
      <c r="F26" s="603"/>
      <c r="G26" s="603"/>
      <c r="H26" s="603"/>
      <c r="I26" s="603"/>
      <c r="J26" s="603"/>
      <c r="K26" s="603"/>
      <c r="L26" s="603"/>
      <c r="O26" s="17"/>
    </row>
    <row r="27" spans="1:17" ht="36.75" thickBot="1" x14ac:dyDescent="0.3">
      <c r="A27" s="24"/>
      <c r="B27" s="24"/>
      <c r="C27" s="239" t="s">
        <v>220</v>
      </c>
      <c r="D27" s="247">
        <v>0</v>
      </c>
      <c r="E27" s="273">
        <v>0</v>
      </c>
      <c r="F27" s="252">
        <v>0</v>
      </c>
      <c r="G27" s="273">
        <v>0</v>
      </c>
      <c r="H27" s="273">
        <v>0</v>
      </c>
      <c r="I27" s="273">
        <v>0</v>
      </c>
      <c r="J27" s="274">
        <f>M27-D27-E27-G27-H27-I27-F27-K27</f>
        <v>84522.893307485996</v>
      </c>
      <c r="K27" s="273">
        <v>0</v>
      </c>
      <c r="L27" s="271">
        <f>SUM(D27:K27)</f>
        <v>84522.893307485996</v>
      </c>
      <c r="M27" s="109">
        <f>'ES CT Gas Table A'!L32</f>
        <v>84522.893307485996</v>
      </c>
      <c r="N27" s="109">
        <f>M27-L27</f>
        <v>0</v>
      </c>
      <c r="O27" s="17">
        <f t="shared" si="1"/>
        <v>0</v>
      </c>
    </row>
    <row r="28" spans="1:17" ht="21.75" customHeight="1" thickBot="1" x14ac:dyDescent="0.3">
      <c r="A28" s="24"/>
      <c r="B28" s="24"/>
      <c r="C28" s="186" t="s">
        <v>121</v>
      </c>
      <c r="D28" s="247">
        <v>0</v>
      </c>
      <c r="E28" s="273">
        <v>0</v>
      </c>
      <c r="F28" s="252">
        <v>0</v>
      </c>
      <c r="G28" s="273">
        <v>0</v>
      </c>
      <c r="H28" s="273">
        <v>0</v>
      </c>
      <c r="I28" s="273">
        <v>0</v>
      </c>
      <c r="J28" s="274">
        <f>M28-D28-E28-G28-H28-I28-F28-K28</f>
        <v>93905.470565267999</v>
      </c>
      <c r="K28" s="273">
        <v>0</v>
      </c>
      <c r="L28" s="271">
        <f>SUM(D28:K28)</f>
        <v>93905.470565267999</v>
      </c>
      <c r="M28" s="109">
        <f>'ES CT Gas Table A'!L33</f>
        <v>93905.470565267999</v>
      </c>
      <c r="N28" s="109">
        <f>M28-L28</f>
        <v>0</v>
      </c>
      <c r="O28" s="17">
        <f t="shared" si="1"/>
        <v>0</v>
      </c>
    </row>
    <row r="29" spans="1:17" ht="21.75" customHeight="1" thickBot="1" x14ac:dyDescent="0.3">
      <c r="A29" s="24"/>
      <c r="B29" s="24"/>
      <c r="C29" s="275" t="s">
        <v>43</v>
      </c>
      <c r="D29" s="247">
        <f>14420*1.03*1.03</f>
        <v>15298.178</v>
      </c>
      <c r="E29" s="273">
        <v>0</v>
      </c>
      <c r="F29" s="252">
        <f>M29-D29-E29-G29-H29-I29-J29-K29</f>
        <v>34701.922660389297</v>
      </c>
      <c r="G29" s="273">
        <v>0</v>
      </c>
      <c r="H29" s="273">
        <v>0</v>
      </c>
      <c r="I29" s="273">
        <v>0</v>
      </c>
      <c r="J29" s="273">
        <v>0</v>
      </c>
      <c r="K29" s="273">
        <v>0</v>
      </c>
      <c r="L29" s="271">
        <f>SUM(D29:K29)</f>
        <v>50000.100660389297</v>
      </c>
      <c r="M29" s="109">
        <f>'ES CT Gas Table A'!L34</f>
        <v>50000.100660389297</v>
      </c>
      <c r="N29" s="109">
        <f>M29-L29</f>
        <v>0</v>
      </c>
      <c r="O29" s="17">
        <f t="shared" si="1"/>
        <v>0</v>
      </c>
    </row>
    <row r="30" spans="1:17" s="25" customFormat="1" ht="22.5" customHeight="1" thickBot="1" x14ac:dyDescent="0.3">
      <c r="A30" s="24"/>
      <c r="B30" s="24"/>
      <c r="C30" s="453" t="s">
        <v>229</v>
      </c>
      <c r="D30" s="264">
        <f t="shared" ref="D30:L30" si="5">SUM(D27:D29)</f>
        <v>15298.178</v>
      </c>
      <c r="E30" s="264">
        <f t="shared" si="5"/>
        <v>0</v>
      </c>
      <c r="F30" s="264">
        <f t="shared" si="5"/>
        <v>34701.922660389297</v>
      </c>
      <c r="G30" s="264">
        <f t="shared" si="5"/>
        <v>0</v>
      </c>
      <c r="H30" s="264">
        <f t="shared" si="5"/>
        <v>0</v>
      </c>
      <c r="I30" s="264">
        <f t="shared" si="5"/>
        <v>0</v>
      </c>
      <c r="J30" s="264">
        <f t="shared" si="5"/>
        <v>178428.36387275398</v>
      </c>
      <c r="K30" s="264">
        <f t="shared" si="5"/>
        <v>0</v>
      </c>
      <c r="L30" s="264">
        <f t="shared" si="5"/>
        <v>228428.46453314327</v>
      </c>
      <c r="M30" s="109">
        <f>'ES CT Gas Table A'!L35</f>
        <v>228428.46453314327</v>
      </c>
      <c r="N30" s="109">
        <f>M30-L30</f>
        <v>0</v>
      </c>
      <c r="O30" s="17">
        <f t="shared" si="1"/>
        <v>0</v>
      </c>
    </row>
    <row r="31" spans="1:17" ht="24" customHeight="1" thickBot="1" x14ac:dyDescent="0.3">
      <c r="A31" s="24"/>
      <c r="B31" s="24"/>
      <c r="C31" s="603" t="s">
        <v>33</v>
      </c>
      <c r="D31" s="603"/>
      <c r="E31" s="603"/>
      <c r="F31" s="603"/>
      <c r="G31" s="603"/>
      <c r="H31" s="603"/>
      <c r="I31" s="603"/>
      <c r="J31" s="603"/>
      <c r="K31" s="603"/>
      <c r="L31" s="603"/>
    </row>
    <row r="32" spans="1:17" ht="18.75" thickBot="1" x14ac:dyDescent="0.3">
      <c r="A32" s="24"/>
      <c r="B32" s="24"/>
      <c r="C32" s="181" t="s">
        <v>13</v>
      </c>
      <c r="D32" s="276">
        <f>(75750*1.03+40000)*1.03</f>
        <v>121563.175</v>
      </c>
      <c r="E32" s="276">
        <v>0</v>
      </c>
      <c r="F32" s="276">
        <f>M32-D32-E32-G32-H32-I32-J32-K32</f>
        <v>11369.641697186991</v>
      </c>
      <c r="G32" s="276">
        <f>15000</f>
        <v>15000</v>
      </c>
      <c r="H32" s="276">
        <v>0</v>
      </c>
      <c r="I32" s="276">
        <v>0</v>
      </c>
      <c r="J32" s="276">
        <f>2000</f>
        <v>2000</v>
      </c>
      <c r="K32" s="276">
        <f>1000</f>
        <v>1000</v>
      </c>
      <c r="L32" s="248">
        <f>SUM(D32:K32)</f>
        <v>150932.81669718699</v>
      </c>
      <c r="M32" s="109">
        <f>'ES CT Gas Table A'!L37</f>
        <v>150932.81669718699</v>
      </c>
      <c r="N32" s="109">
        <f t="shared" ref="N32:N41" si="6">M32-L32</f>
        <v>0</v>
      </c>
      <c r="O32" s="17">
        <f t="shared" si="1"/>
        <v>0</v>
      </c>
    </row>
    <row r="33" spans="1:18" ht="18.75" thickBot="1" x14ac:dyDescent="0.3">
      <c r="A33" s="24"/>
      <c r="B33" s="24"/>
      <c r="C33" s="181" t="s">
        <v>14</v>
      </c>
      <c r="D33" s="276">
        <v>0</v>
      </c>
      <c r="E33" s="276">
        <v>0</v>
      </c>
      <c r="F33" s="276">
        <v>0</v>
      </c>
      <c r="G33" s="276">
        <v>0</v>
      </c>
      <c r="H33" s="276">
        <v>0</v>
      </c>
      <c r="I33" s="276">
        <f>M33-D33-E33-F33-G33-H33-J33-K33</f>
        <v>40100.498656621698</v>
      </c>
      <c r="J33" s="276">
        <v>0</v>
      </c>
      <c r="K33" s="276">
        <v>0</v>
      </c>
      <c r="L33" s="248">
        <f t="shared" ref="L33:L39" si="7">SUM(D33:K33)</f>
        <v>40100.498656621698</v>
      </c>
      <c r="M33" s="109">
        <f>'ES CT Gas Table A'!L38</f>
        <v>40100.498656621698</v>
      </c>
      <c r="N33" s="109">
        <f t="shared" si="6"/>
        <v>0</v>
      </c>
      <c r="O33" s="17">
        <f t="shared" si="1"/>
        <v>0</v>
      </c>
    </row>
    <row r="34" spans="1:18" ht="19.5" customHeight="1" thickBot="1" x14ac:dyDescent="0.3">
      <c r="A34" s="24"/>
      <c r="B34" s="24"/>
      <c r="C34" s="181" t="s">
        <v>16</v>
      </c>
      <c r="D34" s="276">
        <f>'ES CT Gas 2022 Table C  '!D34*1.03</f>
        <v>57897.370170000009</v>
      </c>
      <c r="E34" s="276">
        <v>0</v>
      </c>
      <c r="F34" s="276"/>
      <c r="G34" s="276">
        <f>M34-D34-E34-F34-H34-I34-J34-K34</f>
        <v>21260.93181116799</v>
      </c>
      <c r="H34" s="276">
        <v>0</v>
      </c>
      <c r="I34" s="276">
        <v>0</v>
      </c>
      <c r="J34" s="276">
        <v>0</v>
      </c>
      <c r="K34" s="276">
        <v>0</v>
      </c>
      <c r="L34" s="248">
        <f t="shared" si="7"/>
        <v>79158.301981167999</v>
      </c>
      <c r="M34" s="109">
        <f>'ES CT Gas Table A'!L39</f>
        <v>79158.301981167999</v>
      </c>
      <c r="N34" s="109">
        <f t="shared" si="6"/>
        <v>0</v>
      </c>
      <c r="O34" s="17">
        <f t="shared" si="1"/>
        <v>0</v>
      </c>
    </row>
    <row r="35" spans="1:18" s="18" customFormat="1" ht="20.25" customHeight="1" thickBot="1" x14ac:dyDescent="0.3">
      <c r="A35" s="23"/>
      <c r="B35" s="23"/>
      <c r="C35" s="240" t="s">
        <v>150</v>
      </c>
      <c r="D35" s="276">
        <v>0</v>
      </c>
      <c r="E35" s="276">
        <v>0</v>
      </c>
      <c r="F35" s="276">
        <f t="shared" ref="F35:F39" si="8">M35-D35-E35-G35-H35-I35-J35-K35</f>
        <v>300000</v>
      </c>
      <c r="G35" s="276">
        <v>0</v>
      </c>
      <c r="H35" s="276">
        <v>0</v>
      </c>
      <c r="I35" s="276">
        <v>0</v>
      </c>
      <c r="J35" s="276">
        <v>0</v>
      </c>
      <c r="K35" s="276">
        <v>0</v>
      </c>
      <c r="L35" s="248">
        <f t="shared" si="7"/>
        <v>300000</v>
      </c>
      <c r="M35" s="109">
        <f>'ES CT Gas Table A'!L40</f>
        <v>300000</v>
      </c>
      <c r="N35" s="109">
        <f t="shared" si="6"/>
        <v>0</v>
      </c>
      <c r="O35" s="17">
        <f t="shared" si="1"/>
        <v>0</v>
      </c>
    </row>
    <row r="36" spans="1:18" s="18" customFormat="1" ht="18.75" customHeight="1" thickBot="1" x14ac:dyDescent="0.3">
      <c r="A36" s="23"/>
      <c r="B36" s="23"/>
      <c r="C36" s="240" t="s">
        <v>147</v>
      </c>
      <c r="D36" s="276">
        <v>0</v>
      </c>
      <c r="E36" s="276">
        <v>0</v>
      </c>
      <c r="F36" s="276">
        <f t="shared" si="8"/>
        <v>29607</v>
      </c>
      <c r="G36" s="276">
        <v>0</v>
      </c>
      <c r="H36" s="276">
        <v>0</v>
      </c>
      <c r="I36" s="276">
        <v>0</v>
      </c>
      <c r="J36" s="276">
        <v>0</v>
      </c>
      <c r="K36" s="276">
        <v>0</v>
      </c>
      <c r="L36" s="248">
        <f t="shared" si="7"/>
        <v>29607</v>
      </c>
      <c r="M36" s="109">
        <f>'ES CT Gas Table A'!L41</f>
        <v>29607</v>
      </c>
      <c r="N36" s="109">
        <f t="shared" si="6"/>
        <v>0</v>
      </c>
      <c r="O36" s="17">
        <f t="shared" si="1"/>
        <v>0</v>
      </c>
    </row>
    <row r="37" spans="1:18" ht="19.5" customHeight="1" thickBot="1" x14ac:dyDescent="0.3">
      <c r="A37" s="24"/>
      <c r="B37" s="24"/>
      <c r="C37" s="181" t="s">
        <v>15</v>
      </c>
      <c r="D37" s="276">
        <f>25841.7182283183*1.03*1.03</f>
        <v>27415.478868422888</v>
      </c>
      <c r="E37" s="276">
        <v>0</v>
      </c>
      <c r="F37" s="276">
        <f t="shared" si="8"/>
        <v>87977.391320320108</v>
      </c>
      <c r="G37" s="276">
        <f>10333+15000</f>
        <v>25333</v>
      </c>
      <c r="H37" s="276">
        <v>0</v>
      </c>
      <c r="I37" s="276">
        <v>0</v>
      </c>
      <c r="J37" s="276">
        <v>0</v>
      </c>
      <c r="K37" s="276">
        <v>0</v>
      </c>
      <c r="L37" s="248">
        <f>SUM(D37:K37)</f>
        <v>140725.87018874299</v>
      </c>
      <c r="M37" s="109">
        <f>'ES CT Gas Table A'!L42</f>
        <v>140725.87018874299</v>
      </c>
      <c r="N37" s="109">
        <f t="shared" si="6"/>
        <v>0</v>
      </c>
      <c r="O37" s="17">
        <f t="shared" si="1"/>
        <v>0</v>
      </c>
    </row>
    <row r="38" spans="1:18" ht="21.75" customHeight="1" thickBot="1" x14ac:dyDescent="0.3">
      <c r="A38" s="23"/>
      <c r="B38" s="23"/>
      <c r="C38" s="181" t="s">
        <v>148</v>
      </c>
      <c r="D38" s="276">
        <v>0</v>
      </c>
      <c r="E38" s="276">
        <v>0</v>
      </c>
      <c r="F38" s="276">
        <f t="shared" si="8"/>
        <v>53333</v>
      </c>
      <c r="G38" s="276">
        <v>0</v>
      </c>
      <c r="H38" s="276">
        <v>0</v>
      </c>
      <c r="I38" s="276">
        <v>0</v>
      </c>
      <c r="J38" s="276">
        <v>0</v>
      </c>
      <c r="K38" s="276">
        <v>0</v>
      </c>
      <c r="L38" s="248">
        <f t="shared" si="7"/>
        <v>53333</v>
      </c>
      <c r="M38" s="109">
        <f>'ES CT Gas Table A'!L43</f>
        <v>53333</v>
      </c>
      <c r="N38" s="109">
        <f t="shared" si="6"/>
        <v>0</v>
      </c>
      <c r="O38" s="17">
        <f t="shared" si="1"/>
        <v>0</v>
      </c>
    </row>
    <row r="39" spans="1:18" ht="22.5" customHeight="1" thickBot="1" x14ac:dyDescent="0.3">
      <c r="A39" s="23"/>
      <c r="B39" s="23"/>
      <c r="C39" s="181" t="s">
        <v>151</v>
      </c>
      <c r="D39" s="276">
        <v>0</v>
      </c>
      <c r="E39" s="276">
        <v>0</v>
      </c>
      <c r="F39" s="276">
        <f t="shared" si="8"/>
        <v>10000</v>
      </c>
      <c r="G39" s="276">
        <v>0</v>
      </c>
      <c r="H39" s="276">
        <v>0</v>
      </c>
      <c r="I39" s="276">
        <v>0</v>
      </c>
      <c r="J39" s="276">
        <v>0</v>
      </c>
      <c r="K39" s="276">
        <v>0</v>
      </c>
      <c r="L39" s="248">
        <f t="shared" si="7"/>
        <v>10000</v>
      </c>
      <c r="M39" s="109">
        <f>'ES CT Gas Table A'!L44</f>
        <v>10000</v>
      </c>
      <c r="N39" s="109">
        <f t="shared" si="6"/>
        <v>0</v>
      </c>
      <c r="O39" s="17">
        <f t="shared" si="1"/>
        <v>0</v>
      </c>
    </row>
    <row r="40" spans="1:18" ht="23.25" customHeight="1" thickBot="1" x14ac:dyDescent="0.3">
      <c r="A40" s="23"/>
      <c r="B40" s="23"/>
      <c r="C40" s="181" t="s">
        <v>149</v>
      </c>
      <c r="D40" s="276">
        <v>0</v>
      </c>
      <c r="E40" s="276">
        <v>0</v>
      </c>
      <c r="F40" s="276">
        <v>0</v>
      </c>
      <c r="G40" s="276">
        <v>0</v>
      </c>
      <c r="H40" s="276">
        <v>0</v>
      </c>
      <c r="I40" s="276">
        <v>0</v>
      </c>
      <c r="J40" s="276">
        <f>M40</f>
        <v>1117877</v>
      </c>
      <c r="K40" s="276">
        <v>0</v>
      </c>
      <c r="L40" s="248">
        <f>SUM(D40:K40)</f>
        <v>1117877</v>
      </c>
      <c r="M40" s="109">
        <f>'ES CT Gas Table A'!L45</f>
        <v>1117877</v>
      </c>
      <c r="N40" s="109">
        <f t="shared" si="6"/>
        <v>0</v>
      </c>
      <c r="O40" s="17">
        <f t="shared" si="1"/>
        <v>0</v>
      </c>
    </row>
    <row r="41" spans="1:18" ht="21.75" customHeight="1" thickBot="1" x14ac:dyDescent="0.3">
      <c r="A41" s="23"/>
      <c r="B41" s="23"/>
      <c r="C41" s="453" t="s">
        <v>34</v>
      </c>
      <c r="D41" s="277">
        <f t="shared" ref="D41:L41" si="9">SUM(D32:D40)</f>
        <v>206876.02403842288</v>
      </c>
      <c r="E41" s="267">
        <f t="shared" si="9"/>
        <v>0</v>
      </c>
      <c r="F41" s="267">
        <f t="shared" si="9"/>
        <v>492287.03301750706</v>
      </c>
      <c r="G41" s="267">
        <f t="shared" si="9"/>
        <v>61593.93181116799</v>
      </c>
      <c r="H41" s="267">
        <f t="shared" si="9"/>
        <v>0</v>
      </c>
      <c r="I41" s="267">
        <f t="shared" si="9"/>
        <v>40100.498656621698</v>
      </c>
      <c r="J41" s="267">
        <f t="shared" si="9"/>
        <v>1119877</v>
      </c>
      <c r="K41" s="267">
        <f t="shared" si="9"/>
        <v>1000</v>
      </c>
      <c r="L41" s="267">
        <f t="shared" si="9"/>
        <v>1921734.4875237197</v>
      </c>
      <c r="M41" s="109">
        <f>'ES CT Gas Table A'!L46</f>
        <v>1921734.4875237197</v>
      </c>
      <c r="N41" s="109">
        <f t="shared" si="6"/>
        <v>0</v>
      </c>
      <c r="O41" s="17">
        <f t="shared" si="1"/>
        <v>0</v>
      </c>
    </row>
    <row r="42" spans="1:18" ht="16.5" hidden="1" customHeight="1" thickBot="1" x14ac:dyDescent="0.3">
      <c r="A42" s="23"/>
      <c r="B42" s="23"/>
      <c r="C42" s="604" t="s">
        <v>35</v>
      </c>
      <c r="D42" s="604"/>
      <c r="E42" s="604"/>
      <c r="F42" s="604"/>
      <c r="G42" s="604"/>
      <c r="H42" s="604"/>
      <c r="I42" s="604"/>
      <c r="J42" s="604"/>
      <c r="K42" s="604"/>
      <c r="L42" s="604"/>
      <c r="O42" s="17" t="e">
        <f t="shared" si="1"/>
        <v>#DIV/0!</v>
      </c>
    </row>
    <row r="43" spans="1:18" ht="16.5" hidden="1" customHeight="1" thickBot="1" x14ac:dyDescent="0.3">
      <c r="A43" s="23"/>
      <c r="B43" s="23"/>
      <c r="C43" s="278" t="s">
        <v>6</v>
      </c>
      <c r="D43" s="279">
        <f>D13+D21*0.8+D23*0.5+D22*0.5+D27+D33*0.8+D24*0.8</f>
        <v>886568.15077712049</v>
      </c>
      <c r="E43" s="279">
        <f t="shared" ref="E43:L43" si="10">E13+E21*0.8+E23*0.5+E22*0.5+E27+E33*0.8+E24*0.8</f>
        <v>1584</v>
      </c>
      <c r="F43" s="279">
        <f t="shared" si="10"/>
        <v>1049522.74</v>
      </c>
      <c r="G43" s="279">
        <f t="shared" si="10"/>
        <v>58927</v>
      </c>
      <c r="H43" s="279">
        <f t="shared" si="10"/>
        <v>9291132.2899055444</v>
      </c>
      <c r="I43" s="279">
        <f t="shared" si="10"/>
        <v>591907.59892529726</v>
      </c>
      <c r="J43" s="279">
        <f t="shared" si="10"/>
        <v>99622.893307485996</v>
      </c>
      <c r="K43" s="279">
        <f t="shared" si="10"/>
        <v>17750</v>
      </c>
      <c r="L43" s="279">
        <f t="shared" si="10"/>
        <v>11997014.672915449</v>
      </c>
      <c r="M43" s="109">
        <f>'ES CT Gas Table A'!K47</f>
        <v>12258180.672915449</v>
      </c>
      <c r="N43" s="109">
        <f>M43-L43</f>
        <v>261166</v>
      </c>
      <c r="O43" s="17">
        <f t="shared" si="1"/>
        <v>0.77445369062365776</v>
      </c>
    </row>
    <row r="44" spans="1:18" ht="16.5" hidden="1" customHeight="1" thickBot="1" x14ac:dyDescent="0.3">
      <c r="C44" s="278" t="s">
        <v>7</v>
      </c>
      <c r="D44" s="279">
        <f>D19+D21*0.2+D23*0.5+D22*0.5+D24*0.2+D28+D33*0.2</f>
        <v>1125304.0152065647</v>
      </c>
      <c r="E44" s="279">
        <f t="shared" ref="E44:L44" si="11">E19+E21*0.2+E23*0.5+E22*0.5+E24*0.2+E28+E33*0.2</f>
        <v>1600</v>
      </c>
      <c r="F44" s="279">
        <f t="shared" si="11"/>
        <v>844095.16999999993</v>
      </c>
      <c r="G44" s="279">
        <f t="shared" si="11"/>
        <v>46113</v>
      </c>
      <c r="H44" s="279">
        <f t="shared" si="11"/>
        <v>7364584.6559124654</v>
      </c>
      <c r="I44" s="279">
        <f t="shared" si="11"/>
        <v>148351.89973132432</v>
      </c>
      <c r="J44" s="279">
        <f t="shared" si="11"/>
        <v>102905.470565268</v>
      </c>
      <c r="K44" s="279">
        <f t="shared" si="11"/>
        <v>6750</v>
      </c>
      <c r="L44" s="279">
        <f t="shared" si="11"/>
        <v>9639704.2114156242</v>
      </c>
      <c r="M44" s="109">
        <f>'ES CT Gas Table A'!K48</f>
        <v>9802204.2114156242</v>
      </c>
      <c r="N44" s="109">
        <f>M44-L44</f>
        <v>162500</v>
      </c>
      <c r="O44" s="17">
        <f t="shared" si="1"/>
        <v>0.76398450558172781</v>
      </c>
    </row>
    <row r="45" spans="1:18" ht="16.5" hidden="1" customHeight="1" thickBot="1" x14ac:dyDescent="0.3">
      <c r="A45" s="27"/>
      <c r="B45" s="27"/>
      <c r="C45" s="278" t="s">
        <v>18</v>
      </c>
      <c r="D45" s="456">
        <f t="shared" ref="D45:K45" si="12">+D29+D32+SUM(D34:D40)</f>
        <v>222174.2020384229</v>
      </c>
      <c r="E45" s="279">
        <f t="shared" si="12"/>
        <v>0</v>
      </c>
      <c r="F45" s="279">
        <f t="shared" si="12"/>
        <v>526988.95567789639</v>
      </c>
      <c r="G45" s="279">
        <f t="shared" si="12"/>
        <v>61593.93181116799</v>
      </c>
      <c r="H45" s="279">
        <f t="shared" si="12"/>
        <v>0</v>
      </c>
      <c r="I45" s="279">
        <f t="shared" si="12"/>
        <v>0</v>
      </c>
      <c r="J45" s="279">
        <f t="shared" si="12"/>
        <v>1119877</v>
      </c>
      <c r="K45" s="279">
        <f t="shared" si="12"/>
        <v>1000</v>
      </c>
      <c r="L45" s="279">
        <f>SUM(D45:K45)</f>
        <v>1931634.0895274873</v>
      </c>
      <c r="M45" s="109">
        <f>'ES CT Gas Table A'!K49</f>
        <v>1957192.0895274873</v>
      </c>
      <c r="N45" s="109">
        <f>M45-L45</f>
        <v>25558</v>
      </c>
      <c r="O45" s="17">
        <f t="shared" si="1"/>
        <v>0</v>
      </c>
    </row>
    <row r="46" spans="1:18" ht="20.25" customHeight="1" thickBot="1" x14ac:dyDescent="0.3">
      <c r="A46" s="23"/>
      <c r="B46" s="23"/>
      <c r="C46" s="453" t="s">
        <v>36</v>
      </c>
      <c r="D46" s="268">
        <f t="shared" ref="D46:L46" si="13">SUM(D43:D45)</f>
        <v>2234046.368022108</v>
      </c>
      <c r="E46" s="268">
        <f t="shared" si="13"/>
        <v>3184</v>
      </c>
      <c r="F46" s="268">
        <f t="shared" si="13"/>
        <v>2420606.8656778964</v>
      </c>
      <c r="G46" s="267">
        <f t="shared" si="13"/>
        <v>166633.93181116797</v>
      </c>
      <c r="H46" s="268">
        <f t="shared" si="13"/>
        <v>16655716.945818011</v>
      </c>
      <c r="I46" s="268">
        <f t="shared" si="13"/>
        <v>740259.49865662155</v>
      </c>
      <c r="J46" s="268">
        <f t="shared" si="13"/>
        <v>1322405.3638727539</v>
      </c>
      <c r="K46" s="268">
        <f t="shared" si="13"/>
        <v>25500</v>
      </c>
      <c r="L46" s="268">
        <f t="shared" si="13"/>
        <v>23568352.973858561</v>
      </c>
      <c r="M46" s="109">
        <f>'ES CT Gas Table A'!L50</f>
        <v>23568352.973858561</v>
      </c>
      <c r="N46" s="109">
        <f>M46-L46</f>
        <v>0</v>
      </c>
      <c r="O46" s="17">
        <f t="shared" si="1"/>
        <v>0.70669838339115687</v>
      </c>
    </row>
    <row r="47" spans="1:18" s="106" customFormat="1" ht="18.75" x14ac:dyDescent="0.3">
      <c r="A47" s="107"/>
      <c r="B47" s="107"/>
      <c r="C47" s="281"/>
      <c r="D47" s="282"/>
      <c r="E47" s="283"/>
      <c r="F47" s="284">
        <f>F46-F35-F36</f>
        <v>2090999.8656778964</v>
      </c>
      <c r="G47" s="283"/>
      <c r="H47" s="285"/>
      <c r="I47" s="285"/>
      <c r="J47" s="285"/>
      <c r="K47" s="285"/>
      <c r="L47" s="286"/>
      <c r="M47" s="17"/>
      <c r="N47" s="17"/>
      <c r="O47" s="17"/>
      <c r="P47" s="17"/>
      <c r="Q47" s="17"/>
      <c r="R47" s="17"/>
    </row>
    <row r="48" spans="1:18" s="108" customFormat="1" ht="18.75" x14ac:dyDescent="0.3">
      <c r="C48" s="287" t="s">
        <v>5</v>
      </c>
      <c r="D48" s="288"/>
      <c r="E48" s="289"/>
      <c r="F48" s="289"/>
      <c r="G48" s="289"/>
      <c r="H48" s="289"/>
      <c r="I48" s="288"/>
      <c r="J48" s="452" t="s">
        <v>5</v>
      </c>
      <c r="K48" s="288"/>
      <c r="L48" s="288"/>
      <c r="M48" s="109">
        <f>L41+L30+L25+L19+L13</f>
        <v>23568352.973858558</v>
      </c>
    </row>
    <row r="49" spans="1:12" x14ac:dyDescent="0.25">
      <c r="A49" s="29"/>
      <c r="B49" s="29"/>
      <c r="C49" s="31"/>
    </row>
    <row r="50" spans="1:12" x14ac:dyDescent="0.25">
      <c r="A50" s="29"/>
      <c r="B50" s="29"/>
      <c r="C50" s="32"/>
      <c r="E50" s="28"/>
      <c r="G50" s="28"/>
    </row>
    <row r="51" spans="1:12" x14ac:dyDescent="0.25">
      <c r="C51" s="32"/>
    </row>
    <row r="52" spans="1:12" x14ac:dyDescent="0.25">
      <c r="C52" s="32"/>
    </row>
    <row r="53" spans="1:12" x14ac:dyDescent="0.25">
      <c r="C53" s="32"/>
    </row>
    <row r="54" spans="1:12" x14ac:dyDescent="0.25">
      <c r="C54" s="32"/>
    </row>
    <row r="55" spans="1:12" s="28" customFormat="1" x14ac:dyDescent="0.25">
      <c r="A55" s="17"/>
      <c r="B55" s="17"/>
      <c r="C55" s="32"/>
      <c r="E55" s="30"/>
      <c r="G55" s="30"/>
      <c r="H55" s="17"/>
      <c r="I55" s="17"/>
      <c r="J55" s="17"/>
      <c r="K55" s="17"/>
      <c r="L55" s="17"/>
    </row>
    <row r="56" spans="1:12" s="28" customFormat="1" x14ac:dyDescent="0.25">
      <c r="A56" s="17"/>
      <c r="B56" s="17"/>
      <c r="C56" s="32"/>
      <c r="E56" s="30"/>
      <c r="G56" s="30"/>
      <c r="H56" s="17"/>
      <c r="I56" s="17"/>
      <c r="J56" s="17"/>
      <c r="K56" s="17"/>
      <c r="L56" s="17"/>
    </row>
    <row r="57" spans="1:12" s="28" customFormat="1" x14ac:dyDescent="0.25">
      <c r="A57" s="17"/>
      <c r="B57" s="17"/>
      <c r="C57" s="32"/>
      <c r="E57" s="30"/>
      <c r="G57" s="30"/>
      <c r="H57" s="17"/>
      <c r="I57" s="17"/>
      <c r="J57" s="17"/>
      <c r="K57" s="17"/>
      <c r="L57" s="17"/>
    </row>
    <row r="58" spans="1:12" s="28" customFormat="1" x14ac:dyDescent="0.25">
      <c r="A58" s="17"/>
      <c r="B58" s="17"/>
      <c r="C58" s="32"/>
      <c r="E58" s="30"/>
      <c r="G58" s="30"/>
      <c r="H58" s="17"/>
      <c r="I58" s="17"/>
      <c r="J58" s="17"/>
      <c r="K58" s="17"/>
      <c r="L58" s="17"/>
    </row>
  </sheetData>
  <mergeCells count="9">
    <mergeCell ref="C26:L26"/>
    <mergeCell ref="C31:L31"/>
    <mergeCell ref="C42:L42"/>
    <mergeCell ref="C2:L2"/>
    <mergeCell ref="C3:L3"/>
    <mergeCell ref="C4:L4"/>
    <mergeCell ref="C7:L7"/>
    <mergeCell ref="C14:L14"/>
    <mergeCell ref="C20:L20"/>
  </mergeCells>
  <pageMargins left="0.7" right="0.7" top="0.75" bottom="0.75" header="0.3" footer="0.3"/>
  <pageSetup scale="53" orientation="landscape"/>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15CEDD-7C45-4CD6-9B24-488E7F13F17E}">
  <sheetPr>
    <tabColor rgb="FFFFC000"/>
  </sheetPr>
  <dimension ref="B2:G45"/>
  <sheetViews>
    <sheetView showGridLines="0" zoomScale="85" zoomScaleNormal="85" workbookViewId="0">
      <selection activeCell="C37" sqref="C37"/>
    </sheetView>
  </sheetViews>
  <sheetFormatPr defaultRowHeight="12.75" x14ac:dyDescent="0.2"/>
  <cols>
    <col min="2" max="2" width="30.85546875" customWidth="1"/>
    <col min="3" max="3" width="16.5703125" bestFit="1" customWidth="1"/>
    <col min="4" max="4" width="3.140625" customWidth="1"/>
    <col min="5" max="5" width="11.5703125" customWidth="1"/>
    <col min="6" max="6" width="22.7109375" customWidth="1"/>
    <col min="7" max="7" width="19.140625" customWidth="1"/>
    <col min="258" max="258" width="22.7109375" customWidth="1"/>
    <col min="259" max="259" width="14.85546875" customWidth="1"/>
    <col min="260" max="260" width="10.7109375" customWidth="1"/>
    <col min="261" max="261" width="14.42578125" customWidth="1"/>
    <col min="262" max="262" width="22.7109375" customWidth="1"/>
    <col min="263" max="263" width="19.140625" customWidth="1"/>
    <col min="514" max="514" width="22.7109375" customWidth="1"/>
    <col min="515" max="515" width="14.85546875" customWidth="1"/>
    <col min="516" max="516" width="10.7109375" customWidth="1"/>
    <col min="517" max="517" width="14.42578125" customWidth="1"/>
    <col min="518" max="518" width="22.7109375" customWidth="1"/>
    <col min="519" max="519" width="19.140625" customWidth="1"/>
    <col min="770" max="770" width="22.7109375" customWidth="1"/>
    <col min="771" max="771" width="14.85546875" customWidth="1"/>
    <col min="772" max="772" width="10.7109375" customWidth="1"/>
    <col min="773" max="773" width="14.42578125" customWidth="1"/>
    <col min="774" max="774" width="22.7109375" customWidth="1"/>
    <col min="775" max="775" width="19.140625" customWidth="1"/>
    <col min="1026" max="1026" width="22.7109375" customWidth="1"/>
    <col min="1027" max="1027" width="14.85546875" customWidth="1"/>
    <col min="1028" max="1028" width="10.7109375" customWidth="1"/>
    <col min="1029" max="1029" width="14.42578125" customWidth="1"/>
    <col min="1030" max="1030" width="22.7109375" customWidth="1"/>
    <col min="1031" max="1031" width="19.140625" customWidth="1"/>
    <col min="1282" max="1282" width="22.7109375" customWidth="1"/>
    <col min="1283" max="1283" width="14.85546875" customWidth="1"/>
    <col min="1284" max="1284" width="10.7109375" customWidth="1"/>
    <col min="1285" max="1285" width="14.42578125" customWidth="1"/>
    <col min="1286" max="1286" width="22.7109375" customWidth="1"/>
    <col min="1287" max="1287" width="19.140625" customWidth="1"/>
    <col min="1538" max="1538" width="22.7109375" customWidth="1"/>
    <col min="1539" max="1539" width="14.85546875" customWidth="1"/>
    <col min="1540" max="1540" width="10.7109375" customWidth="1"/>
    <col min="1541" max="1541" width="14.42578125" customWidth="1"/>
    <col min="1542" max="1542" width="22.7109375" customWidth="1"/>
    <col min="1543" max="1543" width="19.140625" customWidth="1"/>
    <col min="1794" max="1794" width="22.7109375" customWidth="1"/>
    <col min="1795" max="1795" width="14.85546875" customWidth="1"/>
    <col min="1796" max="1796" width="10.7109375" customWidth="1"/>
    <col min="1797" max="1797" width="14.42578125" customWidth="1"/>
    <col min="1798" max="1798" width="22.7109375" customWidth="1"/>
    <col min="1799" max="1799" width="19.140625" customWidth="1"/>
    <col min="2050" max="2050" width="22.7109375" customWidth="1"/>
    <col min="2051" max="2051" width="14.85546875" customWidth="1"/>
    <col min="2052" max="2052" width="10.7109375" customWidth="1"/>
    <col min="2053" max="2053" width="14.42578125" customWidth="1"/>
    <col min="2054" max="2054" width="22.7109375" customWidth="1"/>
    <col min="2055" max="2055" width="19.140625" customWidth="1"/>
    <col min="2306" max="2306" width="22.7109375" customWidth="1"/>
    <col min="2307" max="2307" width="14.85546875" customWidth="1"/>
    <col min="2308" max="2308" width="10.7109375" customWidth="1"/>
    <col min="2309" max="2309" width="14.42578125" customWidth="1"/>
    <col min="2310" max="2310" width="22.7109375" customWidth="1"/>
    <col min="2311" max="2311" width="19.140625" customWidth="1"/>
    <col min="2562" max="2562" width="22.7109375" customWidth="1"/>
    <col min="2563" max="2563" width="14.85546875" customWidth="1"/>
    <col min="2564" max="2564" width="10.7109375" customWidth="1"/>
    <col min="2565" max="2565" width="14.42578125" customWidth="1"/>
    <col min="2566" max="2566" width="22.7109375" customWidth="1"/>
    <col min="2567" max="2567" width="19.140625" customWidth="1"/>
    <col min="2818" max="2818" width="22.7109375" customWidth="1"/>
    <col min="2819" max="2819" width="14.85546875" customWidth="1"/>
    <col min="2820" max="2820" width="10.7109375" customWidth="1"/>
    <col min="2821" max="2821" width="14.42578125" customWidth="1"/>
    <col min="2822" max="2822" width="22.7109375" customWidth="1"/>
    <col min="2823" max="2823" width="19.140625" customWidth="1"/>
    <col min="3074" max="3074" width="22.7109375" customWidth="1"/>
    <col min="3075" max="3075" width="14.85546875" customWidth="1"/>
    <col min="3076" max="3076" width="10.7109375" customWidth="1"/>
    <col min="3077" max="3077" width="14.42578125" customWidth="1"/>
    <col min="3078" max="3078" width="22.7109375" customWidth="1"/>
    <col min="3079" max="3079" width="19.140625" customWidth="1"/>
    <col min="3330" max="3330" width="22.7109375" customWidth="1"/>
    <col min="3331" max="3331" width="14.85546875" customWidth="1"/>
    <col min="3332" max="3332" width="10.7109375" customWidth="1"/>
    <col min="3333" max="3333" width="14.42578125" customWidth="1"/>
    <col min="3334" max="3334" width="22.7109375" customWidth="1"/>
    <col min="3335" max="3335" width="19.140625" customWidth="1"/>
    <col min="3586" max="3586" width="22.7109375" customWidth="1"/>
    <col min="3587" max="3587" width="14.85546875" customWidth="1"/>
    <col min="3588" max="3588" width="10.7109375" customWidth="1"/>
    <col min="3589" max="3589" width="14.42578125" customWidth="1"/>
    <col min="3590" max="3590" width="22.7109375" customWidth="1"/>
    <col min="3591" max="3591" width="19.140625" customWidth="1"/>
    <col min="3842" max="3842" width="22.7109375" customWidth="1"/>
    <col min="3843" max="3843" width="14.85546875" customWidth="1"/>
    <col min="3844" max="3844" width="10.7109375" customWidth="1"/>
    <col min="3845" max="3845" width="14.42578125" customWidth="1"/>
    <col min="3846" max="3846" width="22.7109375" customWidth="1"/>
    <col min="3847" max="3847" width="19.140625" customWidth="1"/>
    <col min="4098" max="4098" width="22.7109375" customWidth="1"/>
    <col min="4099" max="4099" width="14.85546875" customWidth="1"/>
    <col min="4100" max="4100" width="10.7109375" customWidth="1"/>
    <col min="4101" max="4101" width="14.42578125" customWidth="1"/>
    <col min="4102" max="4102" width="22.7109375" customWidth="1"/>
    <col min="4103" max="4103" width="19.140625" customWidth="1"/>
    <col min="4354" max="4354" width="22.7109375" customWidth="1"/>
    <col min="4355" max="4355" width="14.85546875" customWidth="1"/>
    <col min="4356" max="4356" width="10.7109375" customWidth="1"/>
    <col min="4357" max="4357" width="14.42578125" customWidth="1"/>
    <col min="4358" max="4358" width="22.7109375" customWidth="1"/>
    <col min="4359" max="4359" width="19.140625" customWidth="1"/>
    <col min="4610" max="4610" width="22.7109375" customWidth="1"/>
    <col min="4611" max="4611" width="14.85546875" customWidth="1"/>
    <col min="4612" max="4612" width="10.7109375" customWidth="1"/>
    <col min="4613" max="4613" width="14.42578125" customWidth="1"/>
    <col min="4614" max="4614" width="22.7109375" customWidth="1"/>
    <col min="4615" max="4615" width="19.140625" customWidth="1"/>
    <col min="4866" max="4866" width="22.7109375" customWidth="1"/>
    <col min="4867" max="4867" width="14.85546875" customWidth="1"/>
    <col min="4868" max="4868" width="10.7109375" customWidth="1"/>
    <col min="4869" max="4869" width="14.42578125" customWidth="1"/>
    <col min="4870" max="4870" width="22.7109375" customWidth="1"/>
    <col min="4871" max="4871" width="19.140625" customWidth="1"/>
    <col min="5122" max="5122" width="22.7109375" customWidth="1"/>
    <col min="5123" max="5123" width="14.85546875" customWidth="1"/>
    <col min="5124" max="5124" width="10.7109375" customWidth="1"/>
    <col min="5125" max="5125" width="14.42578125" customWidth="1"/>
    <col min="5126" max="5126" width="22.7109375" customWidth="1"/>
    <col min="5127" max="5127" width="19.140625" customWidth="1"/>
    <col min="5378" max="5378" width="22.7109375" customWidth="1"/>
    <col min="5379" max="5379" width="14.85546875" customWidth="1"/>
    <col min="5380" max="5380" width="10.7109375" customWidth="1"/>
    <col min="5381" max="5381" width="14.42578125" customWidth="1"/>
    <col min="5382" max="5382" width="22.7109375" customWidth="1"/>
    <col min="5383" max="5383" width="19.140625" customWidth="1"/>
    <col min="5634" max="5634" width="22.7109375" customWidth="1"/>
    <col min="5635" max="5635" width="14.85546875" customWidth="1"/>
    <col min="5636" max="5636" width="10.7109375" customWidth="1"/>
    <col min="5637" max="5637" width="14.42578125" customWidth="1"/>
    <col min="5638" max="5638" width="22.7109375" customWidth="1"/>
    <col min="5639" max="5639" width="19.140625" customWidth="1"/>
    <col min="5890" max="5890" width="22.7109375" customWidth="1"/>
    <col min="5891" max="5891" width="14.85546875" customWidth="1"/>
    <col min="5892" max="5892" width="10.7109375" customWidth="1"/>
    <col min="5893" max="5893" width="14.42578125" customWidth="1"/>
    <col min="5894" max="5894" width="22.7109375" customWidth="1"/>
    <col min="5895" max="5895" width="19.140625" customWidth="1"/>
    <col min="6146" max="6146" width="22.7109375" customWidth="1"/>
    <col min="6147" max="6147" width="14.85546875" customWidth="1"/>
    <col min="6148" max="6148" width="10.7109375" customWidth="1"/>
    <col min="6149" max="6149" width="14.42578125" customWidth="1"/>
    <col min="6150" max="6150" width="22.7109375" customWidth="1"/>
    <col min="6151" max="6151" width="19.140625" customWidth="1"/>
    <col min="6402" max="6402" width="22.7109375" customWidth="1"/>
    <col min="6403" max="6403" width="14.85546875" customWidth="1"/>
    <col min="6404" max="6404" width="10.7109375" customWidth="1"/>
    <col min="6405" max="6405" width="14.42578125" customWidth="1"/>
    <col min="6406" max="6406" width="22.7109375" customWidth="1"/>
    <col min="6407" max="6407" width="19.140625" customWidth="1"/>
    <col min="6658" max="6658" width="22.7109375" customWidth="1"/>
    <col min="6659" max="6659" width="14.85546875" customWidth="1"/>
    <col min="6660" max="6660" width="10.7109375" customWidth="1"/>
    <col min="6661" max="6661" width="14.42578125" customWidth="1"/>
    <col min="6662" max="6662" width="22.7109375" customWidth="1"/>
    <col min="6663" max="6663" width="19.140625" customWidth="1"/>
    <col min="6914" max="6914" width="22.7109375" customWidth="1"/>
    <col min="6915" max="6915" width="14.85546875" customWidth="1"/>
    <col min="6916" max="6916" width="10.7109375" customWidth="1"/>
    <col min="6917" max="6917" width="14.42578125" customWidth="1"/>
    <col min="6918" max="6918" width="22.7109375" customWidth="1"/>
    <col min="6919" max="6919" width="19.140625" customWidth="1"/>
    <col min="7170" max="7170" width="22.7109375" customWidth="1"/>
    <col min="7171" max="7171" width="14.85546875" customWidth="1"/>
    <col min="7172" max="7172" width="10.7109375" customWidth="1"/>
    <col min="7173" max="7173" width="14.42578125" customWidth="1"/>
    <col min="7174" max="7174" width="22.7109375" customWidth="1"/>
    <col min="7175" max="7175" width="19.140625" customWidth="1"/>
    <col min="7426" max="7426" width="22.7109375" customWidth="1"/>
    <col min="7427" max="7427" width="14.85546875" customWidth="1"/>
    <col min="7428" max="7428" width="10.7109375" customWidth="1"/>
    <col min="7429" max="7429" width="14.42578125" customWidth="1"/>
    <col min="7430" max="7430" width="22.7109375" customWidth="1"/>
    <col min="7431" max="7431" width="19.140625" customWidth="1"/>
    <col min="7682" max="7682" width="22.7109375" customWidth="1"/>
    <col min="7683" max="7683" width="14.85546875" customWidth="1"/>
    <col min="7684" max="7684" width="10.7109375" customWidth="1"/>
    <col min="7685" max="7685" width="14.42578125" customWidth="1"/>
    <col min="7686" max="7686" width="22.7109375" customWidth="1"/>
    <col min="7687" max="7687" width="19.140625" customWidth="1"/>
    <col min="7938" max="7938" width="22.7109375" customWidth="1"/>
    <col min="7939" max="7939" width="14.85546875" customWidth="1"/>
    <col min="7940" max="7940" width="10.7109375" customWidth="1"/>
    <col min="7941" max="7941" width="14.42578125" customWidth="1"/>
    <col min="7942" max="7942" width="22.7109375" customWidth="1"/>
    <col min="7943" max="7943" width="19.140625" customWidth="1"/>
    <col min="8194" max="8194" width="22.7109375" customWidth="1"/>
    <col min="8195" max="8195" width="14.85546875" customWidth="1"/>
    <col min="8196" max="8196" width="10.7109375" customWidth="1"/>
    <col min="8197" max="8197" width="14.42578125" customWidth="1"/>
    <col min="8198" max="8198" width="22.7109375" customWidth="1"/>
    <col min="8199" max="8199" width="19.140625" customWidth="1"/>
    <col min="8450" max="8450" width="22.7109375" customWidth="1"/>
    <col min="8451" max="8451" width="14.85546875" customWidth="1"/>
    <col min="8452" max="8452" width="10.7109375" customWidth="1"/>
    <col min="8453" max="8453" width="14.42578125" customWidth="1"/>
    <col min="8454" max="8454" width="22.7109375" customWidth="1"/>
    <col min="8455" max="8455" width="19.140625" customWidth="1"/>
    <col min="8706" max="8706" width="22.7109375" customWidth="1"/>
    <col min="8707" max="8707" width="14.85546875" customWidth="1"/>
    <col min="8708" max="8708" width="10.7109375" customWidth="1"/>
    <col min="8709" max="8709" width="14.42578125" customWidth="1"/>
    <col min="8710" max="8710" width="22.7109375" customWidth="1"/>
    <col min="8711" max="8711" width="19.140625" customWidth="1"/>
    <col min="8962" max="8962" width="22.7109375" customWidth="1"/>
    <col min="8963" max="8963" width="14.85546875" customWidth="1"/>
    <col min="8964" max="8964" width="10.7109375" customWidth="1"/>
    <col min="8965" max="8965" width="14.42578125" customWidth="1"/>
    <col min="8966" max="8966" width="22.7109375" customWidth="1"/>
    <col min="8967" max="8967" width="19.140625" customWidth="1"/>
    <col min="9218" max="9218" width="22.7109375" customWidth="1"/>
    <col min="9219" max="9219" width="14.85546875" customWidth="1"/>
    <col min="9220" max="9220" width="10.7109375" customWidth="1"/>
    <col min="9221" max="9221" width="14.42578125" customWidth="1"/>
    <col min="9222" max="9222" width="22.7109375" customWidth="1"/>
    <col min="9223" max="9223" width="19.140625" customWidth="1"/>
    <col min="9474" max="9474" width="22.7109375" customWidth="1"/>
    <col min="9475" max="9475" width="14.85546875" customWidth="1"/>
    <col min="9476" max="9476" width="10.7109375" customWidth="1"/>
    <col min="9477" max="9477" width="14.42578125" customWidth="1"/>
    <col min="9478" max="9478" width="22.7109375" customWidth="1"/>
    <col min="9479" max="9479" width="19.140625" customWidth="1"/>
    <col min="9730" max="9730" width="22.7109375" customWidth="1"/>
    <col min="9731" max="9731" width="14.85546875" customWidth="1"/>
    <col min="9732" max="9732" width="10.7109375" customWidth="1"/>
    <col min="9733" max="9733" width="14.42578125" customWidth="1"/>
    <col min="9734" max="9734" width="22.7109375" customWidth="1"/>
    <col min="9735" max="9735" width="19.140625" customWidth="1"/>
    <col min="9986" max="9986" width="22.7109375" customWidth="1"/>
    <col min="9987" max="9987" width="14.85546875" customWidth="1"/>
    <col min="9988" max="9988" width="10.7109375" customWidth="1"/>
    <col min="9989" max="9989" width="14.42578125" customWidth="1"/>
    <col min="9990" max="9990" width="22.7109375" customWidth="1"/>
    <col min="9991" max="9991" width="19.140625" customWidth="1"/>
    <col min="10242" max="10242" width="22.7109375" customWidth="1"/>
    <col min="10243" max="10243" width="14.85546875" customWidth="1"/>
    <col min="10244" max="10244" width="10.7109375" customWidth="1"/>
    <col min="10245" max="10245" width="14.42578125" customWidth="1"/>
    <col min="10246" max="10246" width="22.7109375" customWidth="1"/>
    <col min="10247" max="10247" width="19.140625" customWidth="1"/>
    <col min="10498" max="10498" width="22.7109375" customWidth="1"/>
    <col min="10499" max="10499" width="14.85546875" customWidth="1"/>
    <col min="10500" max="10500" width="10.7109375" customWidth="1"/>
    <col min="10501" max="10501" width="14.42578125" customWidth="1"/>
    <col min="10502" max="10502" width="22.7109375" customWidth="1"/>
    <col min="10503" max="10503" width="19.140625" customWidth="1"/>
    <col min="10754" max="10754" width="22.7109375" customWidth="1"/>
    <col min="10755" max="10755" width="14.85546875" customWidth="1"/>
    <col min="10756" max="10756" width="10.7109375" customWidth="1"/>
    <col min="10757" max="10757" width="14.42578125" customWidth="1"/>
    <col min="10758" max="10758" width="22.7109375" customWidth="1"/>
    <col min="10759" max="10759" width="19.140625" customWidth="1"/>
    <col min="11010" max="11010" width="22.7109375" customWidth="1"/>
    <col min="11011" max="11011" width="14.85546875" customWidth="1"/>
    <col min="11012" max="11012" width="10.7109375" customWidth="1"/>
    <col min="11013" max="11013" width="14.42578125" customWidth="1"/>
    <col min="11014" max="11014" width="22.7109375" customWidth="1"/>
    <col min="11015" max="11015" width="19.140625" customWidth="1"/>
    <col min="11266" max="11266" width="22.7109375" customWidth="1"/>
    <col min="11267" max="11267" width="14.85546875" customWidth="1"/>
    <col min="11268" max="11268" width="10.7109375" customWidth="1"/>
    <col min="11269" max="11269" width="14.42578125" customWidth="1"/>
    <col min="11270" max="11270" width="22.7109375" customWidth="1"/>
    <col min="11271" max="11271" width="19.140625" customWidth="1"/>
    <col min="11522" max="11522" width="22.7109375" customWidth="1"/>
    <col min="11523" max="11523" width="14.85546875" customWidth="1"/>
    <col min="11524" max="11524" width="10.7109375" customWidth="1"/>
    <col min="11525" max="11525" width="14.42578125" customWidth="1"/>
    <col min="11526" max="11526" width="22.7109375" customWidth="1"/>
    <col min="11527" max="11527" width="19.140625" customWidth="1"/>
    <col min="11778" max="11778" width="22.7109375" customWidth="1"/>
    <col min="11779" max="11779" width="14.85546875" customWidth="1"/>
    <col min="11780" max="11780" width="10.7109375" customWidth="1"/>
    <col min="11781" max="11781" width="14.42578125" customWidth="1"/>
    <col min="11782" max="11782" width="22.7109375" customWidth="1"/>
    <col min="11783" max="11783" width="19.140625" customWidth="1"/>
    <col min="12034" max="12034" width="22.7109375" customWidth="1"/>
    <col min="12035" max="12035" width="14.85546875" customWidth="1"/>
    <col min="12036" max="12036" width="10.7109375" customWidth="1"/>
    <col min="12037" max="12037" width="14.42578125" customWidth="1"/>
    <col min="12038" max="12038" width="22.7109375" customWidth="1"/>
    <col min="12039" max="12039" width="19.140625" customWidth="1"/>
    <col min="12290" max="12290" width="22.7109375" customWidth="1"/>
    <col min="12291" max="12291" width="14.85546875" customWidth="1"/>
    <col min="12292" max="12292" width="10.7109375" customWidth="1"/>
    <col min="12293" max="12293" width="14.42578125" customWidth="1"/>
    <col min="12294" max="12294" width="22.7109375" customWidth="1"/>
    <col min="12295" max="12295" width="19.140625" customWidth="1"/>
    <col min="12546" max="12546" width="22.7109375" customWidth="1"/>
    <col min="12547" max="12547" width="14.85546875" customWidth="1"/>
    <col min="12548" max="12548" width="10.7109375" customWidth="1"/>
    <col min="12549" max="12549" width="14.42578125" customWidth="1"/>
    <col min="12550" max="12550" width="22.7109375" customWidth="1"/>
    <col min="12551" max="12551" width="19.140625" customWidth="1"/>
    <col min="12802" max="12802" width="22.7109375" customWidth="1"/>
    <col min="12803" max="12803" width="14.85546875" customWidth="1"/>
    <col min="12804" max="12804" width="10.7109375" customWidth="1"/>
    <col min="12805" max="12805" width="14.42578125" customWidth="1"/>
    <col min="12806" max="12806" width="22.7109375" customWidth="1"/>
    <col min="12807" max="12807" width="19.140625" customWidth="1"/>
    <col min="13058" max="13058" width="22.7109375" customWidth="1"/>
    <col min="13059" max="13059" width="14.85546875" customWidth="1"/>
    <col min="13060" max="13060" width="10.7109375" customWidth="1"/>
    <col min="13061" max="13061" width="14.42578125" customWidth="1"/>
    <col min="13062" max="13062" width="22.7109375" customWidth="1"/>
    <col min="13063" max="13063" width="19.140625" customWidth="1"/>
    <col min="13314" max="13314" width="22.7109375" customWidth="1"/>
    <col min="13315" max="13315" width="14.85546875" customWidth="1"/>
    <col min="13316" max="13316" width="10.7109375" customWidth="1"/>
    <col min="13317" max="13317" width="14.42578125" customWidth="1"/>
    <col min="13318" max="13318" width="22.7109375" customWidth="1"/>
    <col min="13319" max="13319" width="19.140625" customWidth="1"/>
    <col min="13570" max="13570" width="22.7109375" customWidth="1"/>
    <col min="13571" max="13571" width="14.85546875" customWidth="1"/>
    <col min="13572" max="13572" width="10.7109375" customWidth="1"/>
    <col min="13573" max="13573" width="14.42578125" customWidth="1"/>
    <col min="13574" max="13574" width="22.7109375" customWidth="1"/>
    <col min="13575" max="13575" width="19.140625" customWidth="1"/>
    <col min="13826" max="13826" width="22.7109375" customWidth="1"/>
    <col min="13827" max="13827" width="14.85546875" customWidth="1"/>
    <col min="13828" max="13828" width="10.7109375" customWidth="1"/>
    <col min="13829" max="13829" width="14.42578125" customWidth="1"/>
    <col min="13830" max="13830" width="22.7109375" customWidth="1"/>
    <col min="13831" max="13831" width="19.140625" customWidth="1"/>
    <col min="14082" max="14082" width="22.7109375" customWidth="1"/>
    <col min="14083" max="14083" width="14.85546875" customWidth="1"/>
    <col min="14084" max="14084" width="10.7109375" customWidth="1"/>
    <col min="14085" max="14085" width="14.42578125" customWidth="1"/>
    <col min="14086" max="14086" width="22.7109375" customWidth="1"/>
    <col min="14087" max="14087" width="19.140625" customWidth="1"/>
    <col min="14338" max="14338" width="22.7109375" customWidth="1"/>
    <col min="14339" max="14339" width="14.85546875" customWidth="1"/>
    <col min="14340" max="14340" width="10.7109375" customWidth="1"/>
    <col min="14341" max="14341" width="14.42578125" customWidth="1"/>
    <col min="14342" max="14342" width="22.7109375" customWidth="1"/>
    <col min="14343" max="14343" width="19.140625" customWidth="1"/>
    <col min="14594" max="14594" width="22.7109375" customWidth="1"/>
    <col min="14595" max="14595" width="14.85546875" customWidth="1"/>
    <col min="14596" max="14596" width="10.7109375" customWidth="1"/>
    <col min="14597" max="14597" width="14.42578125" customWidth="1"/>
    <col min="14598" max="14598" width="22.7109375" customWidth="1"/>
    <col min="14599" max="14599" width="19.140625" customWidth="1"/>
    <col min="14850" max="14850" width="22.7109375" customWidth="1"/>
    <col min="14851" max="14851" width="14.85546875" customWidth="1"/>
    <col min="14852" max="14852" width="10.7109375" customWidth="1"/>
    <col min="14853" max="14853" width="14.42578125" customWidth="1"/>
    <col min="14854" max="14854" width="22.7109375" customWidth="1"/>
    <col min="14855" max="14855" width="19.140625" customWidth="1"/>
    <col min="15106" max="15106" width="22.7109375" customWidth="1"/>
    <col min="15107" max="15107" width="14.85546875" customWidth="1"/>
    <col min="15108" max="15108" width="10.7109375" customWidth="1"/>
    <col min="15109" max="15109" width="14.42578125" customWidth="1"/>
    <col min="15110" max="15110" width="22.7109375" customWidth="1"/>
    <col min="15111" max="15111" width="19.140625" customWidth="1"/>
    <col min="15362" max="15362" width="22.7109375" customWidth="1"/>
    <col min="15363" max="15363" width="14.85546875" customWidth="1"/>
    <col min="15364" max="15364" width="10.7109375" customWidth="1"/>
    <col min="15365" max="15365" width="14.42578125" customWidth="1"/>
    <col min="15366" max="15366" width="22.7109375" customWidth="1"/>
    <col min="15367" max="15367" width="19.140625" customWidth="1"/>
    <col min="15618" max="15618" width="22.7109375" customWidth="1"/>
    <col min="15619" max="15619" width="14.85546875" customWidth="1"/>
    <col min="15620" max="15620" width="10.7109375" customWidth="1"/>
    <col min="15621" max="15621" width="14.42578125" customWidth="1"/>
    <col min="15622" max="15622" width="22.7109375" customWidth="1"/>
    <col min="15623" max="15623" width="19.140625" customWidth="1"/>
    <col min="15874" max="15874" width="22.7109375" customWidth="1"/>
    <col min="15875" max="15875" width="14.85546875" customWidth="1"/>
    <col min="15876" max="15876" width="10.7109375" customWidth="1"/>
    <col min="15877" max="15877" width="14.42578125" customWidth="1"/>
    <col min="15878" max="15878" width="22.7109375" customWidth="1"/>
    <col min="15879" max="15879" width="19.140625" customWidth="1"/>
    <col min="16130" max="16130" width="22.7109375" customWidth="1"/>
    <col min="16131" max="16131" width="14.85546875" customWidth="1"/>
    <col min="16132" max="16132" width="10.7109375" customWidth="1"/>
    <col min="16133" max="16133" width="14.42578125" customWidth="1"/>
    <col min="16134" max="16134" width="22.7109375" customWidth="1"/>
    <col min="16135" max="16135" width="19.140625" customWidth="1"/>
  </cols>
  <sheetData>
    <row r="2" spans="2:7" ht="20.25" x14ac:dyDescent="0.3">
      <c r="B2" s="610" t="s">
        <v>193</v>
      </c>
      <c r="C2" s="610"/>
      <c r="D2" s="610"/>
      <c r="E2" s="610"/>
      <c r="F2" s="610"/>
      <c r="G2" s="33"/>
    </row>
    <row r="3" spans="2:7" ht="20.25" x14ac:dyDescent="0.3">
      <c r="B3" s="610" t="s">
        <v>297</v>
      </c>
      <c r="C3" s="610"/>
      <c r="D3" s="610"/>
      <c r="E3" s="610"/>
      <c r="F3" s="610"/>
      <c r="G3" s="33"/>
    </row>
    <row r="4" spans="2:7" ht="20.25" x14ac:dyDescent="0.3">
      <c r="B4" s="610" t="s">
        <v>37</v>
      </c>
      <c r="C4" s="610"/>
      <c r="D4" s="610"/>
      <c r="E4" s="610"/>
      <c r="F4" s="610"/>
      <c r="G4" s="33"/>
    </row>
    <row r="5" spans="2:7" ht="15.75" x14ac:dyDescent="0.25">
      <c r="C5" s="605"/>
      <c r="D5" s="605"/>
      <c r="E5" s="605"/>
    </row>
    <row r="33" spans="2:6" ht="33" customHeight="1" x14ac:dyDescent="0.25">
      <c r="B33" s="408" t="s">
        <v>38</v>
      </c>
      <c r="C33" s="402" t="s">
        <v>39</v>
      </c>
      <c r="D33" s="611" t="s">
        <v>40</v>
      </c>
      <c r="E33" s="612"/>
      <c r="F33" s="280"/>
    </row>
    <row r="34" spans="2:6" ht="16.5" x14ac:dyDescent="0.25">
      <c r="B34" s="607"/>
      <c r="C34" s="608"/>
      <c r="D34" s="608"/>
      <c r="E34" s="609"/>
      <c r="F34" s="280"/>
    </row>
    <row r="35" spans="2:6" ht="19.5" customHeight="1" x14ac:dyDescent="0.25">
      <c r="B35" s="409" t="s">
        <v>22</v>
      </c>
      <c r="C35" s="410">
        <f>'ES CT Gas 2023 Table C '!D46+'ES CT Gas 2023 Table C '!G46</f>
        <v>2400680.2998332758</v>
      </c>
      <c r="D35" s="414"/>
      <c r="E35" s="416">
        <f t="shared" ref="E35:E41" si="0">SUM(C35/$C$43)</f>
        <v>0.10186033374907663</v>
      </c>
      <c r="F35" s="280"/>
    </row>
    <row r="36" spans="2:6" ht="20.25" customHeight="1" x14ac:dyDescent="0.25">
      <c r="B36" s="409" t="s">
        <v>41</v>
      </c>
      <c r="C36" s="410">
        <f>'ES CT Gas 2023 Table C '!E46</f>
        <v>3184</v>
      </c>
      <c r="D36" s="414"/>
      <c r="E36" s="416">
        <f t="shared" si="0"/>
        <v>1.3509641524512192E-4</v>
      </c>
      <c r="F36" s="280"/>
    </row>
    <row r="37" spans="2:6" ht="17.25" customHeight="1" x14ac:dyDescent="0.25">
      <c r="B37" s="409" t="s">
        <v>24</v>
      </c>
      <c r="C37" s="410">
        <f>'ES CT Gas 2023 Table C '!F46</f>
        <v>2420606.8656778964</v>
      </c>
      <c r="D37" s="414"/>
      <c r="E37" s="416">
        <f t="shared" si="0"/>
        <v>0.10270581352726574</v>
      </c>
      <c r="F37" s="280"/>
    </row>
    <row r="38" spans="2:6" ht="20.25" customHeight="1" x14ac:dyDescent="0.25">
      <c r="B38" s="409" t="s">
        <v>25</v>
      </c>
      <c r="C38" s="410">
        <f>'ES CT Gas 2023 Table C '!H46</f>
        <v>16655716.945818011</v>
      </c>
      <c r="D38" s="414"/>
      <c r="E38" s="416">
        <f t="shared" si="0"/>
        <v>0.70669838339115687</v>
      </c>
      <c r="F38" s="280"/>
    </row>
    <row r="39" spans="2:6" ht="20.25" customHeight="1" x14ac:dyDescent="0.25">
      <c r="B39" s="409" t="s">
        <v>26</v>
      </c>
      <c r="C39" s="410">
        <f>'ES CT Gas 2023 Table C '!I46</f>
        <v>740259.49865662155</v>
      </c>
      <c r="D39" s="414"/>
      <c r="E39" s="416">
        <f t="shared" si="0"/>
        <v>3.1409046677029116E-2</v>
      </c>
      <c r="F39" s="280"/>
    </row>
    <row r="40" spans="2:6" ht="17.25" customHeight="1" x14ac:dyDescent="0.25">
      <c r="B40" s="409" t="s">
        <v>107</v>
      </c>
      <c r="C40" s="410">
        <f>'ES CT Gas 2023 Table C '!J46</f>
        <v>1322405.3638727539</v>
      </c>
      <c r="D40" s="414"/>
      <c r="E40" s="416">
        <f t="shared" si="0"/>
        <v>5.6109366884462969E-2</v>
      </c>
      <c r="F40" s="280"/>
    </row>
    <row r="41" spans="2:6" ht="19.5" customHeight="1" x14ac:dyDescent="0.4">
      <c r="B41" s="409" t="s">
        <v>27</v>
      </c>
      <c r="C41" s="411">
        <f>'ES CT Gas 2023 Table C '!K46</f>
        <v>25500</v>
      </c>
      <c r="D41" s="414"/>
      <c r="E41" s="417">
        <f t="shared" si="0"/>
        <v>1.081959355763382E-3</v>
      </c>
      <c r="F41" s="280"/>
    </row>
    <row r="42" spans="2:6" ht="16.5" x14ac:dyDescent="0.25">
      <c r="B42" s="607"/>
      <c r="C42" s="608"/>
      <c r="D42" s="608"/>
      <c r="E42" s="609"/>
      <c r="F42" s="280"/>
    </row>
    <row r="43" spans="2:6" ht="16.5" x14ac:dyDescent="0.25">
      <c r="B43" s="412" t="s">
        <v>42</v>
      </c>
      <c r="C43" s="413">
        <f>SUM(C35:C41)</f>
        <v>23568352.973858561</v>
      </c>
      <c r="D43" s="415"/>
      <c r="E43" s="418">
        <f>SUM(E35:E41)</f>
        <v>0.99999999999999989</v>
      </c>
      <c r="F43" s="280"/>
    </row>
    <row r="44" spans="2:6" ht="16.5" x14ac:dyDescent="0.25">
      <c r="B44" s="280"/>
      <c r="C44" s="280"/>
      <c r="D44" s="280"/>
      <c r="E44" s="280"/>
      <c r="F44" s="280"/>
    </row>
    <row r="45" spans="2:6" x14ac:dyDescent="0.2">
      <c r="B45" s="35"/>
    </row>
  </sheetData>
  <mergeCells count="7">
    <mergeCell ref="B42:E42"/>
    <mergeCell ref="B2:F2"/>
    <mergeCell ref="B3:F3"/>
    <mergeCell ref="B4:F4"/>
    <mergeCell ref="C5:E5"/>
    <mergeCell ref="D33:E33"/>
    <mergeCell ref="B34:E34"/>
  </mergeCells>
  <pageMargins left="0.7" right="0.7" top="0.75" bottom="0.75" header="0.3" footer="0.3"/>
  <pageSetup orientation="portrait"/>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F99FDD-2751-4AFA-A269-E4708DB72E93}">
  <sheetPr>
    <tabColor rgb="FFFFC000"/>
    <pageSetUpPr fitToPage="1"/>
  </sheetPr>
  <dimension ref="A2:R58"/>
  <sheetViews>
    <sheetView showGridLines="0" topLeftCell="B1" zoomScale="70" zoomScaleNormal="70" workbookViewId="0">
      <pane ySplit="6" topLeftCell="A7" activePane="bottomLeft" state="frozen"/>
      <selection activeCell="D38" sqref="D38"/>
      <selection pane="bottomLeft" activeCell="B1" sqref="B1"/>
    </sheetView>
  </sheetViews>
  <sheetFormatPr defaultRowHeight="15.75" x14ac:dyDescent="0.25"/>
  <cols>
    <col min="1" max="1" width="7.140625" style="17" hidden="1" customWidth="1"/>
    <col min="2" max="2" width="7.140625" style="17" customWidth="1"/>
    <col min="3" max="3" width="61.28515625" style="17" customWidth="1"/>
    <col min="4" max="4" width="19.85546875" style="28" customWidth="1"/>
    <col min="5" max="5" width="18" style="30" customWidth="1"/>
    <col min="6" max="6" width="20.85546875" style="28" bestFit="1" customWidth="1"/>
    <col min="7" max="7" width="18" style="30" customWidth="1"/>
    <col min="8" max="8" width="20.7109375" style="17" customWidth="1"/>
    <col min="9" max="9" width="16.5703125" style="17" customWidth="1"/>
    <col min="10" max="11" width="20.42578125" style="17" customWidth="1"/>
    <col min="12" max="12" width="21.140625" style="17" customWidth="1"/>
    <col min="13" max="13" width="17.7109375" style="17" customWidth="1"/>
    <col min="14" max="14" width="12.42578125" style="17" customWidth="1"/>
    <col min="15" max="15" width="9.140625" style="17" customWidth="1"/>
    <col min="16" max="16" width="10" style="17" hidden="1" customWidth="1"/>
    <col min="17" max="17" width="13.140625" style="17" hidden="1" customWidth="1"/>
    <col min="18" max="19" width="8.85546875" style="17" customWidth="1"/>
    <col min="20" max="239" width="9.140625" style="17"/>
    <col min="240" max="240" width="7.140625" style="17" customWidth="1"/>
    <col min="241" max="241" width="54.5703125" style="17" customWidth="1"/>
    <col min="242" max="242" width="19.85546875" style="17" customWidth="1"/>
    <col min="243" max="243" width="18" style="17" customWidth="1"/>
    <col min="244" max="244" width="20.85546875" style="17" bestFit="1" customWidth="1"/>
    <col min="245" max="245" width="17.42578125" style="17" customWidth="1"/>
    <col min="246" max="246" width="16.5703125" style="17" customWidth="1"/>
    <col min="247" max="247" width="20.42578125" style="17" customWidth="1"/>
    <col min="248" max="248" width="21.140625" style="17" customWidth="1"/>
    <col min="249" max="258" width="0" style="17" hidden="1" customWidth="1"/>
    <col min="259" max="259" width="19" style="17" customWidth="1"/>
    <col min="260" max="260" width="12" style="17" customWidth="1"/>
    <col min="261" max="263" width="9.140625" style="17"/>
    <col min="264" max="264" width="10.28515625" style="17" customWidth="1"/>
    <col min="265" max="495" width="9.140625" style="17"/>
    <col min="496" max="496" width="7.140625" style="17" customWidth="1"/>
    <col min="497" max="497" width="54.5703125" style="17" customWidth="1"/>
    <col min="498" max="498" width="19.85546875" style="17" customWidth="1"/>
    <col min="499" max="499" width="18" style="17" customWidth="1"/>
    <col min="500" max="500" width="20.85546875" style="17" bestFit="1" customWidth="1"/>
    <col min="501" max="501" width="17.42578125" style="17" customWidth="1"/>
    <col min="502" max="502" width="16.5703125" style="17" customWidth="1"/>
    <col min="503" max="503" width="20.42578125" style="17" customWidth="1"/>
    <col min="504" max="504" width="21.140625" style="17" customWidth="1"/>
    <col min="505" max="514" width="0" style="17" hidden="1" customWidth="1"/>
    <col min="515" max="515" width="19" style="17" customWidth="1"/>
    <col min="516" max="516" width="12" style="17" customWidth="1"/>
    <col min="517" max="519" width="9.140625" style="17"/>
    <col min="520" max="520" width="10.28515625" style="17" customWidth="1"/>
    <col min="521" max="751" width="9.140625" style="17"/>
    <col min="752" max="752" width="7.140625" style="17" customWidth="1"/>
    <col min="753" max="753" width="54.5703125" style="17" customWidth="1"/>
    <col min="754" max="754" width="19.85546875" style="17" customWidth="1"/>
    <col min="755" max="755" width="18" style="17" customWidth="1"/>
    <col min="756" max="756" width="20.85546875" style="17" bestFit="1" customWidth="1"/>
    <col min="757" max="757" width="17.42578125" style="17" customWidth="1"/>
    <col min="758" max="758" width="16.5703125" style="17" customWidth="1"/>
    <col min="759" max="759" width="20.42578125" style="17" customWidth="1"/>
    <col min="760" max="760" width="21.140625" style="17" customWidth="1"/>
    <col min="761" max="770" width="0" style="17" hidden="1" customWidth="1"/>
    <col min="771" max="771" width="19" style="17" customWidth="1"/>
    <col min="772" max="772" width="12" style="17" customWidth="1"/>
    <col min="773" max="775" width="9.140625" style="17"/>
    <col min="776" max="776" width="10.28515625" style="17" customWidth="1"/>
    <col min="777" max="1007" width="9.140625" style="17"/>
    <col min="1008" max="1008" width="7.140625" style="17" customWidth="1"/>
    <col min="1009" max="1009" width="54.5703125" style="17" customWidth="1"/>
    <col min="1010" max="1010" width="19.85546875" style="17" customWidth="1"/>
    <col min="1011" max="1011" width="18" style="17" customWidth="1"/>
    <col min="1012" max="1012" width="20.85546875" style="17" bestFit="1" customWidth="1"/>
    <col min="1013" max="1013" width="17.42578125" style="17" customWidth="1"/>
    <col min="1014" max="1014" width="16.5703125" style="17" customWidth="1"/>
    <col min="1015" max="1015" width="20.42578125" style="17" customWidth="1"/>
    <col min="1016" max="1016" width="21.140625" style="17" customWidth="1"/>
    <col min="1017" max="1026" width="0" style="17" hidden="1" customWidth="1"/>
    <col min="1027" max="1027" width="19" style="17" customWidth="1"/>
    <col min="1028" max="1028" width="12" style="17" customWidth="1"/>
    <col min="1029" max="1031" width="9.140625" style="17"/>
    <col min="1032" max="1032" width="10.28515625" style="17" customWidth="1"/>
    <col min="1033" max="1263" width="9.140625" style="17"/>
    <col min="1264" max="1264" width="7.140625" style="17" customWidth="1"/>
    <col min="1265" max="1265" width="54.5703125" style="17" customWidth="1"/>
    <col min="1266" max="1266" width="19.85546875" style="17" customWidth="1"/>
    <col min="1267" max="1267" width="18" style="17" customWidth="1"/>
    <col min="1268" max="1268" width="20.85546875" style="17" bestFit="1" customWidth="1"/>
    <col min="1269" max="1269" width="17.42578125" style="17" customWidth="1"/>
    <col min="1270" max="1270" width="16.5703125" style="17" customWidth="1"/>
    <col min="1271" max="1271" width="20.42578125" style="17" customWidth="1"/>
    <col min="1272" max="1272" width="21.140625" style="17" customWidth="1"/>
    <col min="1273" max="1282" width="0" style="17" hidden="1" customWidth="1"/>
    <col min="1283" max="1283" width="19" style="17" customWidth="1"/>
    <col min="1284" max="1284" width="12" style="17" customWidth="1"/>
    <col min="1285" max="1287" width="9.140625" style="17"/>
    <col min="1288" max="1288" width="10.28515625" style="17" customWidth="1"/>
    <col min="1289" max="1519" width="9.140625" style="17"/>
    <col min="1520" max="1520" width="7.140625" style="17" customWidth="1"/>
    <col min="1521" max="1521" width="54.5703125" style="17" customWidth="1"/>
    <col min="1522" max="1522" width="19.85546875" style="17" customWidth="1"/>
    <col min="1523" max="1523" width="18" style="17" customWidth="1"/>
    <col min="1524" max="1524" width="20.85546875" style="17" bestFit="1" customWidth="1"/>
    <col min="1525" max="1525" width="17.42578125" style="17" customWidth="1"/>
    <col min="1526" max="1526" width="16.5703125" style="17" customWidth="1"/>
    <col min="1527" max="1527" width="20.42578125" style="17" customWidth="1"/>
    <col min="1528" max="1528" width="21.140625" style="17" customWidth="1"/>
    <col min="1529" max="1538" width="0" style="17" hidden="1" customWidth="1"/>
    <col min="1539" max="1539" width="19" style="17" customWidth="1"/>
    <col min="1540" max="1540" width="12" style="17" customWidth="1"/>
    <col min="1541" max="1543" width="9.140625" style="17"/>
    <col min="1544" max="1544" width="10.28515625" style="17" customWidth="1"/>
    <col min="1545" max="1775" width="9.140625" style="17"/>
    <col min="1776" max="1776" width="7.140625" style="17" customWidth="1"/>
    <col min="1777" max="1777" width="54.5703125" style="17" customWidth="1"/>
    <col min="1778" max="1778" width="19.85546875" style="17" customWidth="1"/>
    <col min="1779" max="1779" width="18" style="17" customWidth="1"/>
    <col min="1780" max="1780" width="20.85546875" style="17" bestFit="1" customWidth="1"/>
    <col min="1781" max="1781" width="17.42578125" style="17" customWidth="1"/>
    <col min="1782" max="1782" width="16.5703125" style="17" customWidth="1"/>
    <col min="1783" max="1783" width="20.42578125" style="17" customWidth="1"/>
    <col min="1784" max="1784" width="21.140625" style="17" customWidth="1"/>
    <col min="1785" max="1794" width="0" style="17" hidden="1" customWidth="1"/>
    <col min="1795" max="1795" width="19" style="17" customWidth="1"/>
    <col min="1796" max="1796" width="12" style="17" customWidth="1"/>
    <col min="1797" max="1799" width="9.140625" style="17"/>
    <col min="1800" max="1800" width="10.28515625" style="17" customWidth="1"/>
    <col min="1801" max="2031" width="9.140625" style="17"/>
    <col min="2032" max="2032" width="7.140625" style="17" customWidth="1"/>
    <col min="2033" max="2033" width="54.5703125" style="17" customWidth="1"/>
    <col min="2034" max="2034" width="19.85546875" style="17" customWidth="1"/>
    <col min="2035" max="2035" width="18" style="17" customWidth="1"/>
    <col min="2036" max="2036" width="20.85546875" style="17" bestFit="1" customWidth="1"/>
    <col min="2037" max="2037" width="17.42578125" style="17" customWidth="1"/>
    <col min="2038" max="2038" width="16.5703125" style="17" customWidth="1"/>
    <col min="2039" max="2039" width="20.42578125" style="17" customWidth="1"/>
    <col min="2040" max="2040" width="21.140625" style="17" customWidth="1"/>
    <col min="2041" max="2050" width="0" style="17" hidden="1" customWidth="1"/>
    <col min="2051" max="2051" width="19" style="17" customWidth="1"/>
    <col min="2052" max="2052" width="12" style="17" customWidth="1"/>
    <col min="2053" max="2055" width="9.140625" style="17"/>
    <col min="2056" max="2056" width="10.28515625" style="17" customWidth="1"/>
    <col min="2057" max="2287" width="9.140625" style="17"/>
    <col min="2288" max="2288" width="7.140625" style="17" customWidth="1"/>
    <col min="2289" max="2289" width="54.5703125" style="17" customWidth="1"/>
    <col min="2290" max="2290" width="19.85546875" style="17" customWidth="1"/>
    <col min="2291" max="2291" width="18" style="17" customWidth="1"/>
    <col min="2292" max="2292" width="20.85546875" style="17" bestFit="1" customWidth="1"/>
    <col min="2293" max="2293" width="17.42578125" style="17" customWidth="1"/>
    <col min="2294" max="2294" width="16.5703125" style="17" customWidth="1"/>
    <col min="2295" max="2295" width="20.42578125" style="17" customWidth="1"/>
    <col min="2296" max="2296" width="21.140625" style="17" customWidth="1"/>
    <col min="2297" max="2306" width="0" style="17" hidden="1" customWidth="1"/>
    <col min="2307" max="2307" width="19" style="17" customWidth="1"/>
    <col min="2308" max="2308" width="12" style="17" customWidth="1"/>
    <col min="2309" max="2311" width="9.140625" style="17"/>
    <col min="2312" max="2312" width="10.28515625" style="17" customWidth="1"/>
    <col min="2313" max="2543" width="9.140625" style="17"/>
    <col min="2544" max="2544" width="7.140625" style="17" customWidth="1"/>
    <col min="2545" max="2545" width="54.5703125" style="17" customWidth="1"/>
    <col min="2546" max="2546" width="19.85546875" style="17" customWidth="1"/>
    <col min="2547" max="2547" width="18" style="17" customWidth="1"/>
    <col min="2548" max="2548" width="20.85546875" style="17" bestFit="1" customWidth="1"/>
    <col min="2549" max="2549" width="17.42578125" style="17" customWidth="1"/>
    <col min="2550" max="2550" width="16.5703125" style="17" customWidth="1"/>
    <col min="2551" max="2551" width="20.42578125" style="17" customWidth="1"/>
    <col min="2552" max="2552" width="21.140625" style="17" customWidth="1"/>
    <col min="2553" max="2562" width="0" style="17" hidden="1" customWidth="1"/>
    <col min="2563" max="2563" width="19" style="17" customWidth="1"/>
    <col min="2564" max="2564" width="12" style="17" customWidth="1"/>
    <col min="2565" max="2567" width="9.140625" style="17"/>
    <col min="2568" max="2568" width="10.28515625" style="17" customWidth="1"/>
    <col min="2569" max="2799" width="9.140625" style="17"/>
    <col min="2800" max="2800" width="7.140625" style="17" customWidth="1"/>
    <col min="2801" max="2801" width="54.5703125" style="17" customWidth="1"/>
    <col min="2802" max="2802" width="19.85546875" style="17" customWidth="1"/>
    <col min="2803" max="2803" width="18" style="17" customWidth="1"/>
    <col min="2804" max="2804" width="20.85546875" style="17" bestFit="1" customWidth="1"/>
    <col min="2805" max="2805" width="17.42578125" style="17" customWidth="1"/>
    <col min="2806" max="2806" width="16.5703125" style="17" customWidth="1"/>
    <col min="2807" max="2807" width="20.42578125" style="17" customWidth="1"/>
    <col min="2808" max="2808" width="21.140625" style="17" customWidth="1"/>
    <col min="2809" max="2818" width="0" style="17" hidden="1" customWidth="1"/>
    <col min="2819" max="2819" width="19" style="17" customWidth="1"/>
    <col min="2820" max="2820" width="12" style="17" customWidth="1"/>
    <col min="2821" max="2823" width="9.140625" style="17"/>
    <col min="2824" max="2824" width="10.28515625" style="17" customWidth="1"/>
    <col min="2825" max="3055" width="9.140625" style="17"/>
    <col min="3056" max="3056" width="7.140625" style="17" customWidth="1"/>
    <col min="3057" max="3057" width="54.5703125" style="17" customWidth="1"/>
    <col min="3058" max="3058" width="19.85546875" style="17" customWidth="1"/>
    <col min="3059" max="3059" width="18" style="17" customWidth="1"/>
    <col min="3060" max="3060" width="20.85546875" style="17" bestFit="1" customWidth="1"/>
    <col min="3061" max="3061" width="17.42578125" style="17" customWidth="1"/>
    <col min="3062" max="3062" width="16.5703125" style="17" customWidth="1"/>
    <col min="3063" max="3063" width="20.42578125" style="17" customWidth="1"/>
    <col min="3064" max="3064" width="21.140625" style="17" customWidth="1"/>
    <col min="3065" max="3074" width="0" style="17" hidden="1" customWidth="1"/>
    <col min="3075" max="3075" width="19" style="17" customWidth="1"/>
    <col min="3076" max="3076" width="12" style="17" customWidth="1"/>
    <col min="3077" max="3079" width="9.140625" style="17"/>
    <col min="3080" max="3080" width="10.28515625" style="17" customWidth="1"/>
    <col min="3081" max="3311" width="9.140625" style="17"/>
    <col min="3312" max="3312" width="7.140625" style="17" customWidth="1"/>
    <col min="3313" max="3313" width="54.5703125" style="17" customWidth="1"/>
    <col min="3314" max="3314" width="19.85546875" style="17" customWidth="1"/>
    <col min="3315" max="3315" width="18" style="17" customWidth="1"/>
    <col min="3316" max="3316" width="20.85546875" style="17" bestFit="1" customWidth="1"/>
    <col min="3317" max="3317" width="17.42578125" style="17" customWidth="1"/>
    <col min="3318" max="3318" width="16.5703125" style="17" customWidth="1"/>
    <col min="3319" max="3319" width="20.42578125" style="17" customWidth="1"/>
    <col min="3320" max="3320" width="21.140625" style="17" customWidth="1"/>
    <col min="3321" max="3330" width="0" style="17" hidden="1" customWidth="1"/>
    <col min="3331" max="3331" width="19" style="17" customWidth="1"/>
    <col min="3332" max="3332" width="12" style="17" customWidth="1"/>
    <col min="3333" max="3335" width="9.140625" style="17"/>
    <col min="3336" max="3336" width="10.28515625" style="17" customWidth="1"/>
    <col min="3337" max="3567" width="9.140625" style="17"/>
    <col min="3568" max="3568" width="7.140625" style="17" customWidth="1"/>
    <col min="3569" max="3569" width="54.5703125" style="17" customWidth="1"/>
    <col min="3570" max="3570" width="19.85546875" style="17" customWidth="1"/>
    <col min="3571" max="3571" width="18" style="17" customWidth="1"/>
    <col min="3572" max="3572" width="20.85546875" style="17" bestFit="1" customWidth="1"/>
    <col min="3573" max="3573" width="17.42578125" style="17" customWidth="1"/>
    <col min="3574" max="3574" width="16.5703125" style="17" customWidth="1"/>
    <col min="3575" max="3575" width="20.42578125" style="17" customWidth="1"/>
    <col min="3576" max="3576" width="21.140625" style="17" customWidth="1"/>
    <col min="3577" max="3586" width="0" style="17" hidden="1" customWidth="1"/>
    <col min="3587" max="3587" width="19" style="17" customWidth="1"/>
    <col min="3588" max="3588" width="12" style="17" customWidth="1"/>
    <col min="3589" max="3591" width="9.140625" style="17"/>
    <col min="3592" max="3592" width="10.28515625" style="17" customWidth="1"/>
    <col min="3593" max="3823" width="9.140625" style="17"/>
    <col min="3824" max="3824" width="7.140625" style="17" customWidth="1"/>
    <col min="3825" max="3825" width="54.5703125" style="17" customWidth="1"/>
    <col min="3826" max="3826" width="19.85546875" style="17" customWidth="1"/>
    <col min="3827" max="3827" width="18" style="17" customWidth="1"/>
    <col min="3828" max="3828" width="20.85546875" style="17" bestFit="1" customWidth="1"/>
    <col min="3829" max="3829" width="17.42578125" style="17" customWidth="1"/>
    <col min="3830" max="3830" width="16.5703125" style="17" customWidth="1"/>
    <col min="3831" max="3831" width="20.42578125" style="17" customWidth="1"/>
    <col min="3832" max="3832" width="21.140625" style="17" customWidth="1"/>
    <col min="3833" max="3842" width="0" style="17" hidden="1" customWidth="1"/>
    <col min="3843" max="3843" width="19" style="17" customWidth="1"/>
    <col min="3844" max="3844" width="12" style="17" customWidth="1"/>
    <col min="3845" max="3847" width="9.140625" style="17"/>
    <col min="3848" max="3848" width="10.28515625" style="17" customWidth="1"/>
    <col min="3849" max="4079" width="9.140625" style="17"/>
    <col min="4080" max="4080" width="7.140625" style="17" customWidth="1"/>
    <col min="4081" max="4081" width="54.5703125" style="17" customWidth="1"/>
    <col min="4082" max="4082" width="19.85546875" style="17" customWidth="1"/>
    <col min="4083" max="4083" width="18" style="17" customWidth="1"/>
    <col min="4084" max="4084" width="20.85546875" style="17" bestFit="1" customWidth="1"/>
    <col min="4085" max="4085" width="17.42578125" style="17" customWidth="1"/>
    <col min="4086" max="4086" width="16.5703125" style="17" customWidth="1"/>
    <col min="4087" max="4087" width="20.42578125" style="17" customWidth="1"/>
    <col min="4088" max="4088" width="21.140625" style="17" customWidth="1"/>
    <col min="4089" max="4098" width="0" style="17" hidden="1" customWidth="1"/>
    <col min="4099" max="4099" width="19" style="17" customWidth="1"/>
    <col min="4100" max="4100" width="12" style="17" customWidth="1"/>
    <col min="4101" max="4103" width="9.140625" style="17"/>
    <col min="4104" max="4104" width="10.28515625" style="17" customWidth="1"/>
    <col min="4105" max="4335" width="9.140625" style="17"/>
    <col min="4336" max="4336" width="7.140625" style="17" customWidth="1"/>
    <col min="4337" max="4337" width="54.5703125" style="17" customWidth="1"/>
    <col min="4338" max="4338" width="19.85546875" style="17" customWidth="1"/>
    <col min="4339" max="4339" width="18" style="17" customWidth="1"/>
    <col min="4340" max="4340" width="20.85546875" style="17" bestFit="1" customWidth="1"/>
    <col min="4341" max="4341" width="17.42578125" style="17" customWidth="1"/>
    <col min="4342" max="4342" width="16.5703125" style="17" customWidth="1"/>
    <col min="4343" max="4343" width="20.42578125" style="17" customWidth="1"/>
    <col min="4344" max="4344" width="21.140625" style="17" customWidth="1"/>
    <col min="4345" max="4354" width="0" style="17" hidden="1" customWidth="1"/>
    <col min="4355" max="4355" width="19" style="17" customWidth="1"/>
    <col min="4356" max="4356" width="12" style="17" customWidth="1"/>
    <col min="4357" max="4359" width="9.140625" style="17"/>
    <col min="4360" max="4360" width="10.28515625" style="17" customWidth="1"/>
    <col min="4361" max="4591" width="9.140625" style="17"/>
    <col min="4592" max="4592" width="7.140625" style="17" customWidth="1"/>
    <col min="4593" max="4593" width="54.5703125" style="17" customWidth="1"/>
    <col min="4594" max="4594" width="19.85546875" style="17" customWidth="1"/>
    <col min="4595" max="4595" width="18" style="17" customWidth="1"/>
    <col min="4596" max="4596" width="20.85546875" style="17" bestFit="1" customWidth="1"/>
    <col min="4597" max="4597" width="17.42578125" style="17" customWidth="1"/>
    <col min="4598" max="4598" width="16.5703125" style="17" customWidth="1"/>
    <col min="4599" max="4599" width="20.42578125" style="17" customWidth="1"/>
    <col min="4600" max="4600" width="21.140625" style="17" customWidth="1"/>
    <col min="4601" max="4610" width="0" style="17" hidden="1" customWidth="1"/>
    <col min="4611" max="4611" width="19" style="17" customWidth="1"/>
    <col min="4612" max="4612" width="12" style="17" customWidth="1"/>
    <col min="4613" max="4615" width="9.140625" style="17"/>
    <col min="4616" max="4616" width="10.28515625" style="17" customWidth="1"/>
    <col min="4617" max="4847" width="9.140625" style="17"/>
    <col min="4848" max="4848" width="7.140625" style="17" customWidth="1"/>
    <col min="4849" max="4849" width="54.5703125" style="17" customWidth="1"/>
    <col min="4850" max="4850" width="19.85546875" style="17" customWidth="1"/>
    <col min="4851" max="4851" width="18" style="17" customWidth="1"/>
    <col min="4852" max="4852" width="20.85546875" style="17" bestFit="1" customWidth="1"/>
    <col min="4853" max="4853" width="17.42578125" style="17" customWidth="1"/>
    <col min="4854" max="4854" width="16.5703125" style="17" customWidth="1"/>
    <col min="4855" max="4855" width="20.42578125" style="17" customWidth="1"/>
    <col min="4856" max="4856" width="21.140625" style="17" customWidth="1"/>
    <col min="4857" max="4866" width="0" style="17" hidden="1" customWidth="1"/>
    <col min="4867" max="4867" width="19" style="17" customWidth="1"/>
    <col min="4868" max="4868" width="12" style="17" customWidth="1"/>
    <col min="4869" max="4871" width="9.140625" style="17"/>
    <col min="4872" max="4872" width="10.28515625" style="17" customWidth="1"/>
    <col min="4873" max="5103" width="9.140625" style="17"/>
    <col min="5104" max="5104" width="7.140625" style="17" customWidth="1"/>
    <col min="5105" max="5105" width="54.5703125" style="17" customWidth="1"/>
    <col min="5106" max="5106" width="19.85546875" style="17" customWidth="1"/>
    <col min="5107" max="5107" width="18" style="17" customWidth="1"/>
    <col min="5108" max="5108" width="20.85546875" style="17" bestFit="1" customWidth="1"/>
    <col min="5109" max="5109" width="17.42578125" style="17" customWidth="1"/>
    <col min="5110" max="5110" width="16.5703125" style="17" customWidth="1"/>
    <col min="5111" max="5111" width="20.42578125" style="17" customWidth="1"/>
    <col min="5112" max="5112" width="21.140625" style="17" customWidth="1"/>
    <col min="5113" max="5122" width="0" style="17" hidden="1" customWidth="1"/>
    <col min="5123" max="5123" width="19" style="17" customWidth="1"/>
    <col min="5124" max="5124" width="12" style="17" customWidth="1"/>
    <col min="5125" max="5127" width="9.140625" style="17"/>
    <col min="5128" max="5128" width="10.28515625" style="17" customWidth="1"/>
    <col min="5129" max="5359" width="9.140625" style="17"/>
    <col min="5360" max="5360" width="7.140625" style="17" customWidth="1"/>
    <col min="5361" max="5361" width="54.5703125" style="17" customWidth="1"/>
    <col min="5362" max="5362" width="19.85546875" style="17" customWidth="1"/>
    <col min="5363" max="5363" width="18" style="17" customWidth="1"/>
    <col min="5364" max="5364" width="20.85546875" style="17" bestFit="1" customWidth="1"/>
    <col min="5365" max="5365" width="17.42578125" style="17" customWidth="1"/>
    <col min="5366" max="5366" width="16.5703125" style="17" customWidth="1"/>
    <col min="5367" max="5367" width="20.42578125" style="17" customWidth="1"/>
    <col min="5368" max="5368" width="21.140625" style="17" customWidth="1"/>
    <col min="5369" max="5378" width="0" style="17" hidden="1" customWidth="1"/>
    <col min="5379" max="5379" width="19" style="17" customWidth="1"/>
    <col min="5380" max="5380" width="12" style="17" customWidth="1"/>
    <col min="5381" max="5383" width="9.140625" style="17"/>
    <col min="5384" max="5384" width="10.28515625" style="17" customWidth="1"/>
    <col min="5385" max="5615" width="9.140625" style="17"/>
    <col min="5616" max="5616" width="7.140625" style="17" customWidth="1"/>
    <col min="5617" max="5617" width="54.5703125" style="17" customWidth="1"/>
    <col min="5618" max="5618" width="19.85546875" style="17" customWidth="1"/>
    <col min="5619" max="5619" width="18" style="17" customWidth="1"/>
    <col min="5620" max="5620" width="20.85546875" style="17" bestFit="1" customWidth="1"/>
    <col min="5621" max="5621" width="17.42578125" style="17" customWidth="1"/>
    <col min="5622" max="5622" width="16.5703125" style="17" customWidth="1"/>
    <col min="5623" max="5623" width="20.42578125" style="17" customWidth="1"/>
    <col min="5624" max="5624" width="21.140625" style="17" customWidth="1"/>
    <col min="5625" max="5634" width="0" style="17" hidden="1" customWidth="1"/>
    <col min="5635" max="5635" width="19" style="17" customWidth="1"/>
    <col min="5636" max="5636" width="12" style="17" customWidth="1"/>
    <col min="5637" max="5639" width="9.140625" style="17"/>
    <col min="5640" max="5640" width="10.28515625" style="17" customWidth="1"/>
    <col min="5641" max="5871" width="9.140625" style="17"/>
    <col min="5872" max="5872" width="7.140625" style="17" customWidth="1"/>
    <col min="5873" max="5873" width="54.5703125" style="17" customWidth="1"/>
    <col min="5874" max="5874" width="19.85546875" style="17" customWidth="1"/>
    <col min="5875" max="5875" width="18" style="17" customWidth="1"/>
    <col min="5876" max="5876" width="20.85546875" style="17" bestFit="1" customWidth="1"/>
    <col min="5877" max="5877" width="17.42578125" style="17" customWidth="1"/>
    <col min="5878" max="5878" width="16.5703125" style="17" customWidth="1"/>
    <col min="5879" max="5879" width="20.42578125" style="17" customWidth="1"/>
    <col min="5880" max="5880" width="21.140625" style="17" customWidth="1"/>
    <col min="5881" max="5890" width="0" style="17" hidden="1" customWidth="1"/>
    <col min="5891" max="5891" width="19" style="17" customWidth="1"/>
    <col min="5892" max="5892" width="12" style="17" customWidth="1"/>
    <col min="5893" max="5895" width="9.140625" style="17"/>
    <col min="5896" max="5896" width="10.28515625" style="17" customWidth="1"/>
    <col min="5897" max="6127" width="9.140625" style="17"/>
    <col min="6128" max="6128" width="7.140625" style="17" customWidth="1"/>
    <col min="6129" max="6129" width="54.5703125" style="17" customWidth="1"/>
    <col min="6130" max="6130" width="19.85546875" style="17" customWidth="1"/>
    <col min="6131" max="6131" width="18" style="17" customWidth="1"/>
    <col min="6132" max="6132" width="20.85546875" style="17" bestFit="1" customWidth="1"/>
    <col min="6133" max="6133" width="17.42578125" style="17" customWidth="1"/>
    <col min="6134" max="6134" width="16.5703125" style="17" customWidth="1"/>
    <col min="6135" max="6135" width="20.42578125" style="17" customWidth="1"/>
    <col min="6136" max="6136" width="21.140625" style="17" customWidth="1"/>
    <col min="6137" max="6146" width="0" style="17" hidden="1" customWidth="1"/>
    <col min="6147" max="6147" width="19" style="17" customWidth="1"/>
    <col min="6148" max="6148" width="12" style="17" customWidth="1"/>
    <col min="6149" max="6151" width="9.140625" style="17"/>
    <col min="6152" max="6152" width="10.28515625" style="17" customWidth="1"/>
    <col min="6153" max="6383" width="9.140625" style="17"/>
    <col min="6384" max="6384" width="7.140625" style="17" customWidth="1"/>
    <col min="6385" max="6385" width="54.5703125" style="17" customWidth="1"/>
    <col min="6386" max="6386" width="19.85546875" style="17" customWidth="1"/>
    <col min="6387" max="6387" width="18" style="17" customWidth="1"/>
    <col min="6388" max="6388" width="20.85546875" style="17" bestFit="1" customWidth="1"/>
    <col min="6389" max="6389" width="17.42578125" style="17" customWidth="1"/>
    <col min="6390" max="6390" width="16.5703125" style="17" customWidth="1"/>
    <col min="6391" max="6391" width="20.42578125" style="17" customWidth="1"/>
    <col min="6392" max="6392" width="21.140625" style="17" customWidth="1"/>
    <col min="6393" max="6402" width="0" style="17" hidden="1" customWidth="1"/>
    <col min="6403" max="6403" width="19" style="17" customWidth="1"/>
    <col min="6404" max="6404" width="12" style="17" customWidth="1"/>
    <col min="6405" max="6407" width="9.140625" style="17"/>
    <col min="6408" max="6408" width="10.28515625" style="17" customWidth="1"/>
    <col min="6409" max="6639" width="9.140625" style="17"/>
    <col min="6640" max="6640" width="7.140625" style="17" customWidth="1"/>
    <col min="6641" max="6641" width="54.5703125" style="17" customWidth="1"/>
    <col min="6642" max="6642" width="19.85546875" style="17" customWidth="1"/>
    <col min="6643" max="6643" width="18" style="17" customWidth="1"/>
    <col min="6644" max="6644" width="20.85546875" style="17" bestFit="1" customWidth="1"/>
    <col min="6645" max="6645" width="17.42578125" style="17" customWidth="1"/>
    <col min="6646" max="6646" width="16.5703125" style="17" customWidth="1"/>
    <col min="6647" max="6647" width="20.42578125" style="17" customWidth="1"/>
    <col min="6648" max="6648" width="21.140625" style="17" customWidth="1"/>
    <col min="6649" max="6658" width="0" style="17" hidden="1" customWidth="1"/>
    <col min="6659" max="6659" width="19" style="17" customWidth="1"/>
    <col min="6660" max="6660" width="12" style="17" customWidth="1"/>
    <col min="6661" max="6663" width="9.140625" style="17"/>
    <col min="6664" max="6664" width="10.28515625" style="17" customWidth="1"/>
    <col min="6665" max="6895" width="9.140625" style="17"/>
    <col min="6896" max="6896" width="7.140625" style="17" customWidth="1"/>
    <col min="6897" max="6897" width="54.5703125" style="17" customWidth="1"/>
    <col min="6898" max="6898" width="19.85546875" style="17" customWidth="1"/>
    <col min="6899" max="6899" width="18" style="17" customWidth="1"/>
    <col min="6900" max="6900" width="20.85546875" style="17" bestFit="1" customWidth="1"/>
    <col min="6901" max="6901" width="17.42578125" style="17" customWidth="1"/>
    <col min="6902" max="6902" width="16.5703125" style="17" customWidth="1"/>
    <col min="6903" max="6903" width="20.42578125" style="17" customWidth="1"/>
    <col min="6904" max="6904" width="21.140625" style="17" customWidth="1"/>
    <col min="6905" max="6914" width="0" style="17" hidden="1" customWidth="1"/>
    <col min="6915" max="6915" width="19" style="17" customWidth="1"/>
    <col min="6916" max="6916" width="12" style="17" customWidth="1"/>
    <col min="6917" max="6919" width="9.140625" style="17"/>
    <col min="6920" max="6920" width="10.28515625" style="17" customWidth="1"/>
    <col min="6921" max="7151" width="9.140625" style="17"/>
    <col min="7152" max="7152" width="7.140625" style="17" customWidth="1"/>
    <col min="7153" max="7153" width="54.5703125" style="17" customWidth="1"/>
    <col min="7154" max="7154" width="19.85546875" style="17" customWidth="1"/>
    <col min="7155" max="7155" width="18" style="17" customWidth="1"/>
    <col min="7156" max="7156" width="20.85546875" style="17" bestFit="1" customWidth="1"/>
    <col min="7157" max="7157" width="17.42578125" style="17" customWidth="1"/>
    <col min="7158" max="7158" width="16.5703125" style="17" customWidth="1"/>
    <col min="7159" max="7159" width="20.42578125" style="17" customWidth="1"/>
    <col min="7160" max="7160" width="21.140625" style="17" customWidth="1"/>
    <col min="7161" max="7170" width="0" style="17" hidden="1" customWidth="1"/>
    <col min="7171" max="7171" width="19" style="17" customWidth="1"/>
    <col min="7172" max="7172" width="12" style="17" customWidth="1"/>
    <col min="7173" max="7175" width="9.140625" style="17"/>
    <col min="7176" max="7176" width="10.28515625" style="17" customWidth="1"/>
    <col min="7177" max="7407" width="9.140625" style="17"/>
    <col min="7408" max="7408" width="7.140625" style="17" customWidth="1"/>
    <col min="7409" max="7409" width="54.5703125" style="17" customWidth="1"/>
    <col min="7410" max="7410" width="19.85546875" style="17" customWidth="1"/>
    <col min="7411" max="7411" width="18" style="17" customWidth="1"/>
    <col min="7412" max="7412" width="20.85546875" style="17" bestFit="1" customWidth="1"/>
    <col min="7413" max="7413" width="17.42578125" style="17" customWidth="1"/>
    <col min="7414" max="7414" width="16.5703125" style="17" customWidth="1"/>
    <col min="7415" max="7415" width="20.42578125" style="17" customWidth="1"/>
    <col min="7416" max="7416" width="21.140625" style="17" customWidth="1"/>
    <col min="7417" max="7426" width="0" style="17" hidden="1" customWidth="1"/>
    <col min="7427" max="7427" width="19" style="17" customWidth="1"/>
    <col min="7428" max="7428" width="12" style="17" customWidth="1"/>
    <col min="7429" max="7431" width="9.140625" style="17"/>
    <col min="7432" max="7432" width="10.28515625" style="17" customWidth="1"/>
    <col min="7433" max="7663" width="9.140625" style="17"/>
    <col min="7664" max="7664" width="7.140625" style="17" customWidth="1"/>
    <col min="7665" max="7665" width="54.5703125" style="17" customWidth="1"/>
    <col min="7666" max="7666" width="19.85546875" style="17" customWidth="1"/>
    <col min="7667" max="7667" width="18" style="17" customWidth="1"/>
    <col min="7668" max="7668" width="20.85546875" style="17" bestFit="1" customWidth="1"/>
    <col min="7669" max="7669" width="17.42578125" style="17" customWidth="1"/>
    <col min="7670" max="7670" width="16.5703125" style="17" customWidth="1"/>
    <col min="7671" max="7671" width="20.42578125" style="17" customWidth="1"/>
    <col min="7672" max="7672" width="21.140625" style="17" customWidth="1"/>
    <col min="7673" max="7682" width="0" style="17" hidden="1" customWidth="1"/>
    <col min="7683" max="7683" width="19" style="17" customWidth="1"/>
    <col min="7684" max="7684" width="12" style="17" customWidth="1"/>
    <col min="7685" max="7687" width="9.140625" style="17"/>
    <col min="7688" max="7688" width="10.28515625" style="17" customWidth="1"/>
    <col min="7689" max="7919" width="9.140625" style="17"/>
    <col min="7920" max="7920" width="7.140625" style="17" customWidth="1"/>
    <col min="7921" max="7921" width="54.5703125" style="17" customWidth="1"/>
    <col min="7922" max="7922" width="19.85546875" style="17" customWidth="1"/>
    <col min="7923" max="7923" width="18" style="17" customWidth="1"/>
    <col min="7924" max="7924" width="20.85546875" style="17" bestFit="1" customWidth="1"/>
    <col min="7925" max="7925" width="17.42578125" style="17" customWidth="1"/>
    <col min="7926" max="7926" width="16.5703125" style="17" customWidth="1"/>
    <col min="7927" max="7927" width="20.42578125" style="17" customWidth="1"/>
    <col min="7928" max="7928" width="21.140625" style="17" customWidth="1"/>
    <col min="7929" max="7938" width="0" style="17" hidden="1" customWidth="1"/>
    <col min="7939" max="7939" width="19" style="17" customWidth="1"/>
    <col min="7940" max="7940" width="12" style="17" customWidth="1"/>
    <col min="7941" max="7943" width="9.140625" style="17"/>
    <col min="7944" max="7944" width="10.28515625" style="17" customWidth="1"/>
    <col min="7945" max="8175" width="9.140625" style="17"/>
    <col min="8176" max="8176" width="7.140625" style="17" customWidth="1"/>
    <col min="8177" max="8177" width="54.5703125" style="17" customWidth="1"/>
    <col min="8178" max="8178" width="19.85546875" style="17" customWidth="1"/>
    <col min="8179" max="8179" width="18" style="17" customWidth="1"/>
    <col min="8180" max="8180" width="20.85546875" style="17" bestFit="1" customWidth="1"/>
    <col min="8181" max="8181" width="17.42578125" style="17" customWidth="1"/>
    <col min="8182" max="8182" width="16.5703125" style="17" customWidth="1"/>
    <col min="8183" max="8183" width="20.42578125" style="17" customWidth="1"/>
    <col min="8184" max="8184" width="21.140625" style="17" customWidth="1"/>
    <col min="8185" max="8194" width="0" style="17" hidden="1" customWidth="1"/>
    <col min="8195" max="8195" width="19" style="17" customWidth="1"/>
    <col min="8196" max="8196" width="12" style="17" customWidth="1"/>
    <col min="8197" max="8199" width="9.140625" style="17"/>
    <col min="8200" max="8200" width="10.28515625" style="17" customWidth="1"/>
    <col min="8201" max="8431" width="9.140625" style="17"/>
    <col min="8432" max="8432" width="7.140625" style="17" customWidth="1"/>
    <col min="8433" max="8433" width="54.5703125" style="17" customWidth="1"/>
    <col min="8434" max="8434" width="19.85546875" style="17" customWidth="1"/>
    <col min="8435" max="8435" width="18" style="17" customWidth="1"/>
    <col min="8436" max="8436" width="20.85546875" style="17" bestFit="1" customWidth="1"/>
    <col min="8437" max="8437" width="17.42578125" style="17" customWidth="1"/>
    <col min="8438" max="8438" width="16.5703125" style="17" customWidth="1"/>
    <col min="8439" max="8439" width="20.42578125" style="17" customWidth="1"/>
    <col min="8440" max="8440" width="21.140625" style="17" customWidth="1"/>
    <col min="8441" max="8450" width="0" style="17" hidden="1" customWidth="1"/>
    <col min="8451" max="8451" width="19" style="17" customWidth="1"/>
    <col min="8452" max="8452" width="12" style="17" customWidth="1"/>
    <col min="8453" max="8455" width="9.140625" style="17"/>
    <col min="8456" max="8456" width="10.28515625" style="17" customWidth="1"/>
    <col min="8457" max="8687" width="9.140625" style="17"/>
    <col min="8688" max="8688" width="7.140625" style="17" customWidth="1"/>
    <col min="8689" max="8689" width="54.5703125" style="17" customWidth="1"/>
    <col min="8690" max="8690" width="19.85546875" style="17" customWidth="1"/>
    <col min="8691" max="8691" width="18" style="17" customWidth="1"/>
    <col min="8692" max="8692" width="20.85546875" style="17" bestFit="1" customWidth="1"/>
    <col min="8693" max="8693" width="17.42578125" style="17" customWidth="1"/>
    <col min="8694" max="8694" width="16.5703125" style="17" customWidth="1"/>
    <col min="8695" max="8695" width="20.42578125" style="17" customWidth="1"/>
    <col min="8696" max="8696" width="21.140625" style="17" customWidth="1"/>
    <col min="8697" max="8706" width="0" style="17" hidden="1" customWidth="1"/>
    <col min="8707" max="8707" width="19" style="17" customWidth="1"/>
    <col min="8708" max="8708" width="12" style="17" customWidth="1"/>
    <col min="8709" max="8711" width="9.140625" style="17"/>
    <col min="8712" max="8712" width="10.28515625" style="17" customWidth="1"/>
    <col min="8713" max="8943" width="9.140625" style="17"/>
    <col min="8944" max="8944" width="7.140625" style="17" customWidth="1"/>
    <col min="8945" max="8945" width="54.5703125" style="17" customWidth="1"/>
    <col min="8946" max="8946" width="19.85546875" style="17" customWidth="1"/>
    <col min="8947" max="8947" width="18" style="17" customWidth="1"/>
    <col min="8948" max="8948" width="20.85546875" style="17" bestFit="1" customWidth="1"/>
    <col min="8949" max="8949" width="17.42578125" style="17" customWidth="1"/>
    <col min="8950" max="8950" width="16.5703125" style="17" customWidth="1"/>
    <col min="8951" max="8951" width="20.42578125" style="17" customWidth="1"/>
    <col min="8952" max="8952" width="21.140625" style="17" customWidth="1"/>
    <col min="8953" max="8962" width="0" style="17" hidden="1" customWidth="1"/>
    <col min="8963" max="8963" width="19" style="17" customWidth="1"/>
    <col min="8964" max="8964" width="12" style="17" customWidth="1"/>
    <col min="8965" max="8967" width="9.140625" style="17"/>
    <col min="8968" max="8968" width="10.28515625" style="17" customWidth="1"/>
    <col min="8969" max="9199" width="9.140625" style="17"/>
    <col min="9200" max="9200" width="7.140625" style="17" customWidth="1"/>
    <col min="9201" max="9201" width="54.5703125" style="17" customWidth="1"/>
    <col min="9202" max="9202" width="19.85546875" style="17" customWidth="1"/>
    <col min="9203" max="9203" width="18" style="17" customWidth="1"/>
    <col min="9204" max="9204" width="20.85546875" style="17" bestFit="1" customWidth="1"/>
    <col min="9205" max="9205" width="17.42578125" style="17" customWidth="1"/>
    <col min="9206" max="9206" width="16.5703125" style="17" customWidth="1"/>
    <col min="9207" max="9207" width="20.42578125" style="17" customWidth="1"/>
    <col min="9208" max="9208" width="21.140625" style="17" customWidth="1"/>
    <col min="9209" max="9218" width="0" style="17" hidden="1" customWidth="1"/>
    <col min="9219" max="9219" width="19" style="17" customWidth="1"/>
    <col min="9220" max="9220" width="12" style="17" customWidth="1"/>
    <col min="9221" max="9223" width="9.140625" style="17"/>
    <col min="9224" max="9224" width="10.28515625" style="17" customWidth="1"/>
    <col min="9225" max="9455" width="9.140625" style="17"/>
    <col min="9456" max="9456" width="7.140625" style="17" customWidth="1"/>
    <col min="9457" max="9457" width="54.5703125" style="17" customWidth="1"/>
    <col min="9458" max="9458" width="19.85546875" style="17" customWidth="1"/>
    <col min="9459" max="9459" width="18" style="17" customWidth="1"/>
    <col min="9460" max="9460" width="20.85546875" style="17" bestFit="1" customWidth="1"/>
    <col min="9461" max="9461" width="17.42578125" style="17" customWidth="1"/>
    <col min="9462" max="9462" width="16.5703125" style="17" customWidth="1"/>
    <col min="9463" max="9463" width="20.42578125" style="17" customWidth="1"/>
    <col min="9464" max="9464" width="21.140625" style="17" customWidth="1"/>
    <col min="9465" max="9474" width="0" style="17" hidden="1" customWidth="1"/>
    <col min="9475" max="9475" width="19" style="17" customWidth="1"/>
    <col min="9476" max="9476" width="12" style="17" customWidth="1"/>
    <col min="9477" max="9479" width="9.140625" style="17"/>
    <col min="9480" max="9480" width="10.28515625" style="17" customWidth="1"/>
    <col min="9481" max="9711" width="9.140625" style="17"/>
    <col min="9712" max="9712" width="7.140625" style="17" customWidth="1"/>
    <col min="9713" max="9713" width="54.5703125" style="17" customWidth="1"/>
    <col min="9714" max="9714" width="19.85546875" style="17" customWidth="1"/>
    <col min="9715" max="9715" width="18" style="17" customWidth="1"/>
    <col min="9716" max="9716" width="20.85546875" style="17" bestFit="1" customWidth="1"/>
    <col min="9717" max="9717" width="17.42578125" style="17" customWidth="1"/>
    <col min="9718" max="9718" width="16.5703125" style="17" customWidth="1"/>
    <col min="9719" max="9719" width="20.42578125" style="17" customWidth="1"/>
    <col min="9720" max="9720" width="21.140625" style="17" customWidth="1"/>
    <col min="9721" max="9730" width="0" style="17" hidden="1" customWidth="1"/>
    <col min="9731" max="9731" width="19" style="17" customWidth="1"/>
    <col min="9732" max="9732" width="12" style="17" customWidth="1"/>
    <col min="9733" max="9735" width="9.140625" style="17"/>
    <col min="9736" max="9736" width="10.28515625" style="17" customWidth="1"/>
    <col min="9737" max="9967" width="9.140625" style="17"/>
    <col min="9968" max="9968" width="7.140625" style="17" customWidth="1"/>
    <col min="9969" max="9969" width="54.5703125" style="17" customWidth="1"/>
    <col min="9970" max="9970" width="19.85546875" style="17" customWidth="1"/>
    <col min="9971" max="9971" width="18" style="17" customWidth="1"/>
    <col min="9972" max="9972" width="20.85546875" style="17" bestFit="1" customWidth="1"/>
    <col min="9973" max="9973" width="17.42578125" style="17" customWidth="1"/>
    <col min="9974" max="9974" width="16.5703125" style="17" customWidth="1"/>
    <col min="9975" max="9975" width="20.42578125" style="17" customWidth="1"/>
    <col min="9976" max="9976" width="21.140625" style="17" customWidth="1"/>
    <col min="9977" max="9986" width="0" style="17" hidden="1" customWidth="1"/>
    <col min="9987" max="9987" width="19" style="17" customWidth="1"/>
    <col min="9988" max="9988" width="12" style="17" customWidth="1"/>
    <col min="9989" max="9991" width="9.140625" style="17"/>
    <col min="9992" max="9992" width="10.28515625" style="17" customWidth="1"/>
    <col min="9993" max="10223" width="9.140625" style="17"/>
    <col min="10224" max="10224" width="7.140625" style="17" customWidth="1"/>
    <col min="10225" max="10225" width="54.5703125" style="17" customWidth="1"/>
    <col min="10226" max="10226" width="19.85546875" style="17" customWidth="1"/>
    <col min="10227" max="10227" width="18" style="17" customWidth="1"/>
    <col min="10228" max="10228" width="20.85546875" style="17" bestFit="1" customWidth="1"/>
    <col min="10229" max="10229" width="17.42578125" style="17" customWidth="1"/>
    <col min="10230" max="10230" width="16.5703125" style="17" customWidth="1"/>
    <col min="10231" max="10231" width="20.42578125" style="17" customWidth="1"/>
    <col min="10232" max="10232" width="21.140625" style="17" customWidth="1"/>
    <col min="10233" max="10242" width="0" style="17" hidden="1" customWidth="1"/>
    <col min="10243" max="10243" width="19" style="17" customWidth="1"/>
    <col min="10244" max="10244" width="12" style="17" customWidth="1"/>
    <col min="10245" max="10247" width="9.140625" style="17"/>
    <col min="10248" max="10248" width="10.28515625" style="17" customWidth="1"/>
    <col min="10249" max="10479" width="9.140625" style="17"/>
    <col min="10480" max="10480" width="7.140625" style="17" customWidth="1"/>
    <col min="10481" max="10481" width="54.5703125" style="17" customWidth="1"/>
    <col min="10482" max="10482" width="19.85546875" style="17" customWidth="1"/>
    <col min="10483" max="10483" width="18" style="17" customWidth="1"/>
    <col min="10484" max="10484" width="20.85546875" style="17" bestFit="1" customWidth="1"/>
    <col min="10485" max="10485" width="17.42578125" style="17" customWidth="1"/>
    <col min="10486" max="10486" width="16.5703125" style="17" customWidth="1"/>
    <col min="10487" max="10487" width="20.42578125" style="17" customWidth="1"/>
    <col min="10488" max="10488" width="21.140625" style="17" customWidth="1"/>
    <col min="10489" max="10498" width="0" style="17" hidden="1" customWidth="1"/>
    <col min="10499" max="10499" width="19" style="17" customWidth="1"/>
    <col min="10500" max="10500" width="12" style="17" customWidth="1"/>
    <col min="10501" max="10503" width="9.140625" style="17"/>
    <col min="10504" max="10504" width="10.28515625" style="17" customWidth="1"/>
    <col min="10505" max="10735" width="9.140625" style="17"/>
    <col min="10736" max="10736" width="7.140625" style="17" customWidth="1"/>
    <col min="10737" max="10737" width="54.5703125" style="17" customWidth="1"/>
    <col min="10738" max="10738" width="19.85546875" style="17" customWidth="1"/>
    <col min="10739" max="10739" width="18" style="17" customWidth="1"/>
    <col min="10740" max="10740" width="20.85546875" style="17" bestFit="1" customWidth="1"/>
    <col min="10741" max="10741" width="17.42578125" style="17" customWidth="1"/>
    <col min="10742" max="10742" width="16.5703125" style="17" customWidth="1"/>
    <col min="10743" max="10743" width="20.42578125" style="17" customWidth="1"/>
    <col min="10744" max="10744" width="21.140625" style="17" customWidth="1"/>
    <col min="10745" max="10754" width="0" style="17" hidden="1" customWidth="1"/>
    <col min="10755" max="10755" width="19" style="17" customWidth="1"/>
    <col min="10756" max="10756" width="12" style="17" customWidth="1"/>
    <col min="10757" max="10759" width="9.140625" style="17"/>
    <col min="10760" max="10760" width="10.28515625" style="17" customWidth="1"/>
    <col min="10761" max="10991" width="9.140625" style="17"/>
    <col min="10992" max="10992" width="7.140625" style="17" customWidth="1"/>
    <col min="10993" max="10993" width="54.5703125" style="17" customWidth="1"/>
    <col min="10994" max="10994" width="19.85546875" style="17" customWidth="1"/>
    <col min="10995" max="10995" width="18" style="17" customWidth="1"/>
    <col min="10996" max="10996" width="20.85546875" style="17" bestFit="1" customWidth="1"/>
    <col min="10997" max="10997" width="17.42578125" style="17" customWidth="1"/>
    <col min="10998" max="10998" width="16.5703125" style="17" customWidth="1"/>
    <col min="10999" max="10999" width="20.42578125" style="17" customWidth="1"/>
    <col min="11000" max="11000" width="21.140625" style="17" customWidth="1"/>
    <col min="11001" max="11010" width="0" style="17" hidden="1" customWidth="1"/>
    <col min="11011" max="11011" width="19" style="17" customWidth="1"/>
    <col min="11012" max="11012" width="12" style="17" customWidth="1"/>
    <col min="11013" max="11015" width="9.140625" style="17"/>
    <col min="11016" max="11016" width="10.28515625" style="17" customWidth="1"/>
    <col min="11017" max="11247" width="9.140625" style="17"/>
    <col min="11248" max="11248" width="7.140625" style="17" customWidth="1"/>
    <col min="11249" max="11249" width="54.5703125" style="17" customWidth="1"/>
    <col min="11250" max="11250" width="19.85546875" style="17" customWidth="1"/>
    <col min="11251" max="11251" width="18" style="17" customWidth="1"/>
    <col min="11252" max="11252" width="20.85546875" style="17" bestFit="1" customWidth="1"/>
    <col min="11253" max="11253" width="17.42578125" style="17" customWidth="1"/>
    <col min="11254" max="11254" width="16.5703125" style="17" customWidth="1"/>
    <col min="11255" max="11255" width="20.42578125" style="17" customWidth="1"/>
    <col min="11256" max="11256" width="21.140625" style="17" customWidth="1"/>
    <col min="11257" max="11266" width="0" style="17" hidden="1" customWidth="1"/>
    <col min="11267" max="11267" width="19" style="17" customWidth="1"/>
    <col min="11268" max="11268" width="12" style="17" customWidth="1"/>
    <col min="11269" max="11271" width="9.140625" style="17"/>
    <col min="11272" max="11272" width="10.28515625" style="17" customWidth="1"/>
    <col min="11273" max="11503" width="9.140625" style="17"/>
    <col min="11504" max="11504" width="7.140625" style="17" customWidth="1"/>
    <col min="11505" max="11505" width="54.5703125" style="17" customWidth="1"/>
    <col min="11506" max="11506" width="19.85546875" style="17" customWidth="1"/>
    <col min="11507" max="11507" width="18" style="17" customWidth="1"/>
    <col min="11508" max="11508" width="20.85546875" style="17" bestFit="1" customWidth="1"/>
    <col min="11509" max="11509" width="17.42578125" style="17" customWidth="1"/>
    <col min="11510" max="11510" width="16.5703125" style="17" customWidth="1"/>
    <col min="11511" max="11511" width="20.42578125" style="17" customWidth="1"/>
    <col min="11512" max="11512" width="21.140625" style="17" customWidth="1"/>
    <col min="11513" max="11522" width="0" style="17" hidden="1" customWidth="1"/>
    <col min="11523" max="11523" width="19" style="17" customWidth="1"/>
    <col min="11524" max="11524" width="12" style="17" customWidth="1"/>
    <col min="11525" max="11527" width="9.140625" style="17"/>
    <col min="11528" max="11528" width="10.28515625" style="17" customWidth="1"/>
    <col min="11529" max="11759" width="9.140625" style="17"/>
    <col min="11760" max="11760" width="7.140625" style="17" customWidth="1"/>
    <col min="11761" max="11761" width="54.5703125" style="17" customWidth="1"/>
    <col min="11762" max="11762" width="19.85546875" style="17" customWidth="1"/>
    <col min="11763" max="11763" width="18" style="17" customWidth="1"/>
    <col min="11764" max="11764" width="20.85546875" style="17" bestFit="1" customWidth="1"/>
    <col min="11765" max="11765" width="17.42578125" style="17" customWidth="1"/>
    <col min="11766" max="11766" width="16.5703125" style="17" customWidth="1"/>
    <col min="11767" max="11767" width="20.42578125" style="17" customWidth="1"/>
    <col min="11768" max="11768" width="21.140625" style="17" customWidth="1"/>
    <col min="11769" max="11778" width="0" style="17" hidden="1" customWidth="1"/>
    <col min="11779" max="11779" width="19" style="17" customWidth="1"/>
    <col min="11780" max="11780" width="12" style="17" customWidth="1"/>
    <col min="11781" max="11783" width="9.140625" style="17"/>
    <col min="11784" max="11784" width="10.28515625" style="17" customWidth="1"/>
    <col min="11785" max="12015" width="9.140625" style="17"/>
    <col min="12016" max="12016" width="7.140625" style="17" customWidth="1"/>
    <col min="12017" max="12017" width="54.5703125" style="17" customWidth="1"/>
    <col min="12018" max="12018" width="19.85546875" style="17" customWidth="1"/>
    <col min="12019" max="12019" width="18" style="17" customWidth="1"/>
    <col min="12020" max="12020" width="20.85546875" style="17" bestFit="1" customWidth="1"/>
    <col min="12021" max="12021" width="17.42578125" style="17" customWidth="1"/>
    <col min="12022" max="12022" width="16.5703125" style="17" customWidth="1"/>
    <col min="12023" max="12023" width="20.42578125" style="17" customWidth="1"/>
    <col min="12024" max="12024" width="21.140625" style="17" customWidth="1"/>
    <col min="12025" max="12034" width="0" style="17" hidden="1" customWidth="1"/>
    <col min="12035" max="12035" width="19" style="17" customWidth="1"/>
    <col min="12036" max="12036" width="12" style="17" customWidth="1"/>
    <col min="12037" max="12039" width="9.140625" style="17"/>
    <col min="12040" max="12040" width="10.28515625" style="17" customWidth="1"/>
    <col min="12041" max="12271" width="9.140625" style="17"/>
    <col min="12272" max="12272" width="7.140625" style="17" customWidth="1"/>
    <col min="12273" max="12273" width="54.5703125" style="17" customWidth="1"/>
    <col min="12274" max="12274" width="19.85546875" style="17" customWidth="1"/>
    <col min="12275" max="12275" width="18" style="17" customWidth="1"/>
    <col min="12276" max="12276" width="20.85546875" style="17" bestFit="1" customWidth="1"/>
    <col min="12277" max="12277" width="17.42578125" style="17" customWidth="1"/>
    <col min="12278" max="12278" width="16.5703125" style="17" customWidth="1"/>
    <col min="12279" max="12279" width="20.42578125" style="17" customWidth="1"/>
    <col min="12280" max="12280" width="21.140625" style="17" customWidth="1"/>
    <col min="12281" max="12290" width="0" style="17" hidden="1" customWidth="1"/>
    <col min="12291" max="12291" width="19" style="17" customWidth="1"/>
    <col min="12292" max="12292" width="12" style="17" customWidth="1"/>
    <col min="12293" max="12295" width="9.140625" style="17"/>
    <col min="12296" max="12296" width="10.28515625" style="17" customWidth="1"/>
    <col min="12297" max="12527" width="9.140625" style="17"/>
    <col min="12528" max="12528" width="7.140625" style="17" customWidth="1"/>
    <col min="12529" max="12529" width="54.5703125" style="17" customWidth="1"/>
    <col min="12530" max="12530" width="19.85546875" style="17" customWidth="1"/>
    <col min="12531" max="12531" width="18" style="17" customWidth="1"/>
    <col min="12532" max="12532" width="20.85546875" style="17" bestFit="1" customWidth="1"/>
    <col min="12533" max="12533" width="17.42578125" style="17" customWidth="1"/>
    <col min="12534" max="12534" width="16.5703125" style="17" customWidth="1"/>
    <col min="12535" max="12535" width="20.42578125" style="17" customWidth="1"/>
    <col min="12536" max="12536" width="21.140625" style="17" customWidth="1"/>
    <col min="12537" max="12546" width="0" style="17" hidden="1" customWidth="1"/>
    <col min="12547" max="12547" width="19" style="17" customWidth="1"/>
    <col min="12548" max="12548" width="12" style="17" customWidth="1"/>
    <col min="12549" max="12551" width="9.140625" style="17"/>
    <col min="12552" max="12552" width="10.28515625" style="17" customWidth="1"/>
    <col min="12553" max="12783" width="9.140625" style="17"/>
    <col min="12784" max="12784" width="7.140625" style="17" customWidth="1"/>
    <col min="12785" max="12785" width="54.5703125" style="17" customWidth="1"/>
    <col min="12786" max="12786" width="19.85546875" style="17" customWidth="1"/>
    <col min="12787" max="12787" width="18" style="17" customWidth="1"/>
    <col min="12788" max="12788" width="20.85546875" style="17" bestFit="1" customWidth="1"/>
    <col min="12789" max="12789" width="17.42578125" style="17" customWidth="1"/>
    <col min="12790" max="12790" width="16.5703125" style="17" customWidth="1"/>
    <col min="12791" max="12791" width="20.42578125" style="17" customWidth="1"/>
    <col min="12792" max="12792" width="21.140625" style="17" customWidth="1"/>
    <col min="12793" max="12802" width="0" style="17" hidden="1" customWidth="1"/>
    <col min="12803" max="12803" width="19" style="17" customWidth="1"/>
    <col min="12804" max="12804" width="12" style="17" customWidth="1"/>
    <col min="12805" max="12807" width="9.140625" style="17"/>
    <col min="12808" max="12808" width="10.28515625" style="17" customWidth="1"/>
    <col min="12809" max="13039" width="9.140625" style="17"/>
    <col min="13040" max="13040" width="7.140625" style="17" customWidth="1"/>
    <col min="13041" max="13041" width="54.5703125" style="17" customWidth="1"/>
    <col min="13042" max="13042" width="19.85546875" style="17" customWidth="1"/>
    <col min="13043" max="13043" width="18" style="17" customWidth="1"/>
    <col min="13044" max="13044" width="20.85546875" style="17" bestFit="1" customWidth="1"/>
    <col min="13045" max="13045" width="17.42578125" style="17" customWidth="1"/>
    <col min="13046" max="13046" width="16.5703125" style="17" customWidth="1"/>
    <col min="13047" max="13047" width="20.42578125" style="17" customWidth="1"/>
    <col min="13048" max="13048" width="21.140625" style="17" customWidth="1"/>
    <col min="13049" max="13058" width="0" style="17" hidden="1" customWidth="1"/>
    <col min="13059" max="13059" width="19" style="17" customWidth="1"/>
    <col min="13060" max="13060" width="12" style="17" customWidth="1"/>
    <col min="13061" max="13063" width="9.140625" style="17"/>
    <col min="13064" max="13064" width="10.28515625" style="17" customWidth="1"/>
    <col min="13065" max="13295" width="9.140625" style="17"/>
    <col min="13296" max="13296" width="7.140625" style="17" customWidth="1"/>
    <col min="13297" max="13297" width="54.5703125" style="17" customWidth="1"/>
    <col min="13298" max="13298" width="19.85546875" style="17" customWidth="1"/>
    <col min="13299" max="13299" width="18" style="17" customWidth="1"/>
    <col min="13300" max="13300" width="20.85546875" style="17" bestFit="1" customWidth="1"/>
    <col min="13301" max="13301" width="17.42578125" style="17" customWidth="1"/>
    <col min="13302" max="13302" width="16.5703125" style="17" customWidth="1"/>
    <col min="13303" max="13303" width="20.42578125" style="17" customWidth="1"/>
    <col min="13304" max="13304" width="21.140625" style="17" customWidth="1"/>
    <col min="13305" max="13314" width="0" style="17" hidden="1" customWidth="1"/>
    <col min="13315" max="13315" width="19" style="17" customWidth="1"/>
    <col min="13316" max="13316" width="12" style="17" customWidth="1"/>
    <col min="13317" max="13319" width="9.140625" style="17"/>
    <col min="13320" max="13320" width="10.28515625" style="17" customWidth="1"/>
    <col min="13321" max="13551" width="9.140625" style="17"/>
    <col min="13552" max="13552" width="7.140625" style="17" customWidth="1"/>
    <col min="13553" max="13553" width="54.5703125" style="17" customWidth="1"/>
    <col min="13554" max="13554" width="19.85546875" style="17" customWidth="1"/>
    <col min="13555" max="13555" width="18" style="17" customWidth="1"/>
    <col min="13556" max="13556" width="20.85546875" style="17" bestFit="1" customWidth="1"/>
    <col min="13557" max="13557" width="17.42578125" style="17" customWidth="1"/>
    <col min="13558" max="13558" width="16.5703125" style="17" customWidth="1"/>
    <col min="13559" max="13559" width="20.42578125" style="17" customWidth="1"/>
    <col min="13560" max="13560" width="21.140625" style="17" customWidth="1"/>
    <col min="13561" max="13570" width="0" style="17" hidden="1" customWidth="1"/>
    <col min="13571" max="13571" width="19" style="17" customWidth="1"/>
    <col min="13572" max="13572" width="12" style="17" customWidth="1"/>
    <col min="13573" max="13575" width="9.140625" style="17"/>
    <col min="13576" max="13576" width="10.28515625" style="17" customWidth="1"/>
    <col min="13577" max="13807" width="9.140625" style="17"/>
    <col min="13808" max="13808" width="7.140625" style="17" customWidth="1"/>
    <col min="13809" max="13809" width="54.5703125" style="17" customWidth="1"/>
    <col min="13810" max="13810" width="19.85546875" style="17" customWidth="1"/>
    <col min="13811" max="13811" width="18" style="17" customWidth="1"/>
    <col min="13812" max="13812" width="20.85546875" style="17" bestFit="1" customWidth="1"/>
    <col min="13813" max="13813" width="17.42578125" style="17" customWidth="1"/>
    <col min="13814" max="13814" width="16.5703125" style="17" customWidth="1"/>
    <col min="13815" max="13815" width="20.42578125" style="17" customWidth="1"/>
    <col min="13816" max="13816" width="21.140625" style="17" customWidth="1"/>
    <col min="13817" max="13826" width="0" style="17" hidden="1" customWidth="1"/>
    <col min="13827" max="13827" width="19" style="17" customWidth="1"/>
    <col min="13828" max="13828" width="12" style="17" customWidth="1"/>
    <col min="13829" max="13831" width="9.140625" style="17"/>
    <col min="13832" max="13832" width="10.28515625" style="17" customWidth="1"/>
    <col min="13833" max="14063" width="9.140625" style="17"/>
    <col min="14064" max="14064" width="7.140625" style="17" customWidth="1"/>
    <col min="14065" max="14065" width="54.5703125" style="17" customWidth="1"/>
    <col min="14066" max="14066" width="19.85546875" style="17" customWidth="1"/>
    <col min="14067" max="14067" width="18" style="17" customWidth="1"/>
    <col min="14068" max="14068" width="20.85546875" style="17" bestFit="1" customWidth="1"/>
    <col min="14069" max="14069" width="17.42578125" style="17" customWidth="1"/>
    <col min="14070" max="14070" width="16.5703125" style="17" customWidth="1"/>
    <col min="14071" max="14071" width="20.42578125" style="17" customWidth="1"/>
    <col min="14072" max="14072" width="21.140625" style="17" customWidth="1"/>
    <col min="14073" max="14082" width="0" style="17" hidden="1" customWidth="1"/>
    <col min="14083" max="14083" width="19" style="17" customWidth="1"/>
    <col min="14084" max="14084" width="12" style="17" customWidth="1"/>
    <col min="14085" max="14087" width="9.140625" style="17"/>
    <col min="14088" max="14088" width="10.28515625" style="17" customWidth="1"/>
    <col min="14089" max="14319" width="9.140625" style="17"/>
    <col min="14320" max="14320" width="7.140625" style="17" customWidth="1"/>
    <col min="14321" max="14321" width="54.5703125" style="17" customWidth="1"/>
    <col min="14322" max="14322" width="19.85546875" style="17" customWidth="1"/>
    <col min="14323" max="14323" width="18" style="17" customWidth="1"/>
    <col min="14324" max="14324" width="20.85546875" style="17" bestFit="1" customWidth="1"/>
    <col min="14325" max="14325" width="17.42578125" style="17" customWidth="1"/>
    <col min="14326" max="14326" width="16.5703125" style="17" customWidth="1"/>
    <col min="14327" max="14327" width="20.42578125" style="17" customWidth="1"/>
    <col min="14328" max="14328" width="21.140625" style="17" customWidth="1"/>
    <col min="14329" max="14338" width="0" style="17" hidden="1" customWidth="1"/>
    <col min="14339" max="14339" width="19" style="17" customWidth="1"/>
    <col min="14340" max="14340" width="12" style="17" customWidth="1"/>
    <col min="14341" max="14343" width="9.140625" style="17"/>
    <col min="14344" max="14344" width="10.28515625" style="17" customWidth="1"/>
    <col min="14345" max="14575" width="9.140625" style="17"/>
    <col min="14576" max="14576" width="7.140625" style="17" customWidth="1"/>
    <col min="14577" max="14577" width="54.5703125" style="17" customWidth="1"/>
    <col min="14578" max="14578" width="19.85546875" style="17" customWidth="1"/>
    <col min="14579" max="14579" width="18" style="17" customWidth="1"/>
    <col min="14580" max="14580" width="20.85546875" style="17" bestFit="1" customWidth="1"/>
    <col min="14581" max="14581" width="17.42578125" style="17" customWidth="1"/>
    <col min="14582" max="14582" width="16.5703125" style="17" customWidth="1"/>
    <col min="14583" max="14583" width="20.42578125" style="17" customWidth="1"/>
    <col min="14584" max="14584" width="21.140625" style="17" customWidth="1"/>
    <col min="14585" max="14594" width="0" style="17" hidden="1" customWidth="1"/>
    <col min="14595" max="14595" width="19" style="17" customWidth="1"/>
    <col min="14596" max="14596" width="12" style="17" customWidth="1"/>
    <col min="14597" max="14599" width="9.140625" style="17"/>
    <col min="14600" max="14600" width="10.28515625" style="17" customWidth="1"/>
    <col min="14601" max="14831" width="9.140625" style="17"/>
    <col min="14832" max="14832" width="7.140625" style="17" customWidth="1"/>
    <col min="14833" max="14833" width="54.5703125" style="17" customWidth="1"/>
    <col min="14834" max="14834" width="19.85546875" style="17" customWidth="1"/>
    <col min="14835" max="14835" width="18" style="17" customWidth="1"/>
    <col min="14836" max="14836" width="20.85546875" style="17" bestFit="1" customWidth="1"/>
    <col min="14837" max="14837" width="17.42578125" style="17" customWidth="1"/>
    <col min="14838" max="14838" width="16.5703125" style="17" customWidth="1"/>
    <col min="14839" max="14839" width="20.42578125" style="17" customWidth="1"/>
    <col min="14840" max="14840" width="21.140625" style="17" customWidth="1"/>
    <col min="14841" max="14850" width="0" style="17" hidden="1" customWidth="1"/>
    <col min="14851" max="14851" width="19" style="17" customWidth="1"/>
    <col min="14852" max="14852" width="12" style="17" customWidth="1"/>
    <col min="14853" max="14855" width="9.140625" style="17"/>
    <col min="14856" max="14856" width="10.28515625" style="17" customWidth="1"/>
    <col min="14857" max="15087" width="9.140625" style="17"/>
    <col min="15088" max="15088" width="7.140625" style="17" customWidth="1"/>
    <col min="15089" max="15089" width="54.5703125" style="17" customWidth="1"/>
    <col min="15090" max="15090" width="19.85546875" style="17" customWidth="1"/>
    <col min="15091" max="15091" width="18" style="17" customWidth="1"/>
    <col min="15092" max="15092" width="20.85546875" style="17" bestFit="1" customWidth="1"/>
    <col min="15093" max="15093" width="17.42578125" style="17" customWidth="1"/>
    <col min="15094" max="15094" width="16.5703125" style="17" customWidth="1"/>
    <col min="15095" max="15095" width="20.42578125" style="17" customWidth="1"/>
    <col min="15096" max="15096" width="21.140625" style="17" customWidth="1"/>
    <col min="15097" max="15106" width="0" style="17" hidden="1" customWidth="1"/>
    <col min="15107" max="15107" width="19" style="17" customWidth="1"/>
    <col min="15108" max="15108" width="12" style="17" customWidth="1"/>
    <col min="15109" max="15111" width="9.140625" style="17"/>
    <col min="15112" max="15112" width="10.28515625" style="17" customWidth="1"/>
    <col min="15113" max="15343" width="9.140625" style="17"/>
    <col min="15344" max="15344" width="7.140625" style="17" customWidth="1"/>
    <col min="15345" max="15345" width="54.5703125" style="17" customWidth="1"/>
    <col min="15346" max="15346" width="19.85546875" style="17" customWidth="1"/>
    <col min="15347" max="15347" width="18" style="17" customWidth="1"/>
    <col min="15348" max="15348" width="20.85546875" style="17" bestFit="1" customWidth="1"/>
    <col min="15349" max="15349" width="17.42578125" style="17" customWidth="1"/>
    <col min="15350" max="15350" width="16.5703125" style="17" customWidth="1"/>
    <col min="15351" max="15351" width="20.42578125" style="17" customWidth="1"/>
    <col min="15352" max="15352" width="21.140625" style="17" customWidth="1"/>
    <col min="15353" max="15362" width="0" style="17" hidden="1" customWidth="1"/>
    <col min="15363" max="15363" width="19" style="17" customWidth="1"/>
    <col min="15364" max="15364" width="12" style="17" customWidth="1"/>
    <col min="15365" max="15367" width="9.140625" style="17"/>
    <col min="15368" max="15368" width="10.28515625" style="17" customWidth="1"/>
    <col min="15369" max="15599" width="9.140625" style="17"/>
    <col min="15600" max="15600" width="7.140625" style="17" customWidth="1"/>
    <col min="15601" max="15601" width="54.5703125" style="17" customWidth="1"/>
    <col min="15602" max="15602" width="19.85546875" style="17" customWidth="1"/>
    <col min="15603" max="15603" width="18" style="17" customWidth="1"/>
    <col min="15604" max="15604" width="20.85546875" style="17" bestFit="1" customWidth="1"/>
    <col min="15605" max="15605" width="17.42578125" style="17" customWidth="1"/>
    <col min="15606" max="15606" width="16.5703125" style="17" customWidth="1"/>
    <col min="15607" max="15607" width="20.42578125" style="17" customWidth="1"/>
    <col min="15608" max="15608" width="21.140625" style="17" customWidth="1"/>
    <col min="15609" max="15618" width="0" style="17" hidden="1" customWidth="1"/>
    <col min="15619" max="15619" width="19" style="17" customWidth="1"/>
    <col min="15620" max="15620" width="12" style="17" customWidth="1"/>
    <col min="15621" max="15623" width="9.140625" style="17"/>
    <col min="15624" max="15624" width="10.28515625" style="17" customWidth="1"/>
    <col min="15625" max="15855" width="9.140625" style="17"/>
    <col min="15856" max="15856" width="7.140625" style="17" customWidth="1"/>
    <col min="15857" max="15857" width="54.5703125" style="17" customWidth="1"/>
    <col min="15858" max="15858" width="19.85546875" style="17" customWidth="1"/>
    <col min="15859" max="15859" width="18" style="17" customWidth="1"/>
    <col min="15860" max="15860" width="20.85546875" style="17" bestFit="1" customWidth="1"/>
    <col min="15861" max="15861" width="17.42578125" style="17" customWidth="1"/>
    <col min="15862" max="15862" width="16.5703125" style="17" customWidth="1"/>
    <col min="15863" max="15863" width="20.42578125" style="17" customWidth="1"/>
    <col min="15864" max="15864" width="21.140625" style="17" customWidth="1"/>
    <col min="15865" max="15874" width="0" style="17" hidden="1" customWidth="1"/>
    <col min="15875" max="15875" width="19" style="17" customWidth="1"/>
    <col min="15876" max="15876" width="12" style="17" customWidth="1"/>
    <col min="15877" max="15879" width="9.140625" style="17"/>
    <col min="15880" max="15880" width="10.28515625" style="17" customWidth="1"/>
    <col min="15881" max="16111" width="9.140625" style="17"/>
    <col min="16112" max="16112" width="7.140625" style="17" customWidth="1"/>
    <col min="16113" max="16113" width="54.5703125" style="17" customWidth="1"/>
    <col min="16114" max="16114" width="19.85546875" style="17" customWidth="1"/>
    <col min="16115" max="16115" width="18" style="17" customWidth="1"/>
    <col min="16116" max="16116" width="20.85546875" style="17" bestFit="1" customWidth="1"/>
    <col min="16117" max="16117" width="17.42578125" style="17" customWidth="1"/>
    <col min="16118" max="16118" width="16.5703125" style="17" customWidth="1"/>
    <col min="16119" max="16119" width="20.42578125" style="17" customWidth="1"/>
    <col min="16120" max="16120" width="21.140625" style="17" customWidth="1"/>
    <col min="16121" max="16130" width="0" style="17" hidden="1" customWidth="1"/>
    <col min="16131" max="16131" width="19" style="17" customWidth="1"/>
    <col min="16132" max="16132" width="12" style="17" customWidth="1"/>
    <col min="16133" max="16135" width="9.140625" style="17"/>
    <col min="16136" max="16136" width="10.28515625" style="17" customWidth="1"/>
    <col min="16137" max="16384" width="9.140625" style="17"/>
  </cols>
  <sheetData>
    <row r="2" spans="1:17" ht="23.25" x14ac:dyDescent="0.35">
      <c r="C2" s="598" t="s">
        <v>21</v>
      </c>
      <c r="D2" s="598"/>
      <c r="E2" s="598"/>
      <c r="F2" s="598"/>
      <c r="G2" s="598"/>
      <c r="H2" s="598"/>
      <c r="I2" s="598"/>
      <c r="J2" s="598"/>
      <c r="K2" s="598"/>
      <c r="L2" s="598"/>
    </row>
    <row r="3" spans="1:17" ht="25.5" customHeight="1" x14ac:dyDescent="0.35">
      <c r="C3" s="598" t="s">
        <v>300</v>
      </c>
      <c r="D3" s="598"/>
      <c r="E3" s="598"/>
      <c r="F3" s="598"/>
      <c r="G3" s="598"/>
      <c r="H3" s="598"/>
      <c r="I3" s="598"/>
      <c r="J3" s="598"/>
      <c r="K3" s="598"/>
      <c r="L3" s="598"/>
    </row>
    <row r="4" spans="1:17" x14ac:dyDescent="0.25">
      <c r="C4" s="605"/>
      <c r="D4" s="605"/>
      <c r="E4" s="605"/>
      <c r="F4" s="605"/>
      <c r="G4" s="605"/>
      <c r="H4" s="605"/>
      <c r="I4" s="605"/>
      <c r="J4" s="605"/>
      <c r="K4" s="605"/>
      <c r="L4" s="605"/>
    </row>
    <row r="5" spans="1:17" ht="6.75" customHeight="1" thickBot="1" x14ac:dyDescent="0.3">
      <c r="C5" s="19"/>
      <c r="D5" s="20"/>
      <c r="E5" s="21"/>
      <c r="F5" s="22"/>
      <c r="G5" s="21"/>
    </row>
    <row r="6" spans="1:17" ht="54.75" thickBot="1" x14ac:dyDescent="0.3">
      <c r="C6" s="261" t="s">
        <v>145</v>
      </c>
      <c r="D6" s="262" t="s">
        <v>22</v>
      </c>
      <c r="E6" s="262" t="s">
        <v>23</v>
      </c>
      <c r="F6" s="262" t="s">
        <v>24</v>
      </c>
      <c r="G6" s="262" t="s">
        <v>109</v>
      </c>
      <c r="H6" s="262" t="s">
        <v>25</v>
      </c>
      <c r="I6" s="262" t="s">
        <v>26</v>
      </c>
      <c r="J6" s="262" t="s">
        <v>107</v>
      </c>
      <c r="K6" s="262" t="s">
        <v>27</v>
      </c>
      <c r="L6" s="263" t="s">
        <v>28</v>
      </c>
      <c r="P6" s="129" t="s">
        <v>24</v>
      </c>
    </row>
    <row r="7" spans="1:17" ht="24" customHeight="1" thickBot="1" x14ac:dyDescent="0.3">
      <c r="C7" s="602" t="s">
        <v>29</v>
      </c>
      <c r="D7" s="602"/>
      <c r="E7" s="602"/>
      <c r="F7" s="602"/>
      <c r="G7" s="602"/>
      <c r="H7" s="602"/>
      <c r="I7" s="602"/>
      <c r="J7" s="602"/>
      <c r="K7" s="602"/>
      <c r="L7" s="602"/>
      <c r="Q7" s="17">
        <v>2018</v>
      </c>
    </row>
    <row r="8" spans="1:17" ht="18.75" thickBot="1" x14ac:dyDescent="0.3">
      <c r="A8" s="23"/>
      <c r="B8" s="23"/>
      <c r="C8" s="177" t="s">
        <v>9</v>
      </c>
      <c r="D8" s="247">
        <f>70000*1.03*1.03*1.03</f>
        <v>76490.89</v>
      </c>
      <c r="E8" s="247">
        <v>100</v>
      </c>
      <c r="F8" s="247">
        <v>10000</v>
      </c>
      <c r="G8" s="247">
        <v>0</v>
      </c>
      <c r="H8" s="247">
        <f>M8-D8-E8-F8-G8-I8-J8-K8</f>
        <v>9489.660355785003</v>
      </c>
      <c r="I8" s="247">
        <v>26000</v>
      </c>
      <c r="J8" s="247">
        <v>2000</v>
      </c>
      <c r="K8" s="247">
        <v>3000</v>
      </c>
      <c r="L8" s="248">
        <f>SUM(D8:K8)</f>
        <v>127080.550355785</v>
      </c>
      <c r="M8" s="109">
        <f>'ES CT Gas Table A'!N13</f>
        <v>127080.550355785</v>
      </c>
      <c r="N8" s="109">
        <f t="shared" ref="N8:N13" si="0">M8-L8</f>
        <v>0</v>
      </c>
      <c r="P8" s="128">
        <v>2.6262419224533379E-4</v>
      </c>
      <c r="Q8" s="130">
        <v>-39.575102153641595</v>
      </c>
    </row>
    <row r="9" spans="1:17" ht="21.75" customHeight="1" thickBot="1" x14ac:dyDescent="0.3">
      <c r="A9" s="23"/>
      <c r="B9" s="23"/>
      <c r="C9" s="349" t="s">
        <v>275</v>
      </c>
      <c r="D9" s="247">
        <f>438204.23*1.03*1.03*1.03-200000</f>
        <v>278837.59363521007</v>
      </c>
      <c r="E9" s="247">
        <v>500</v>
      </c>
      <c r="F9" s="247">
        <f>260000+3000+300000-200000</f>
        <v>363000</v>
      </c>
      <c r="G9" s="247">
        <f>16000+8963</f>
        <v>24963</v>
      </c>
      <c r="H9" s="247">
        <f>M9-D9-E9-F9-G9-I9-J9-K9</f>
        <v>2895673.7926098304</v>
      </c>
      <c r="I9" s="247">
        <v>170000</v>
      </c>
      <c r="J9" s="247">
        <v>7000</v>
      </c>
      <c r="K9" s="247">
        <v>5000</v>
      </c>
      <c r="L9" s="248">
        <f>SUM(D9:K9)</f>
        <v>3744974.3862450402</v>
      </c>
      <c r="M9" s="109">
        <f>'ES CT Gas Table A'!N14</f>
        <v>3744974.3862450402</v>
      </c>
      <c r="N9" s="109">
        <f t="shared" si="0"/>
        <v>0</v>
      </c>
      <c r="P9" s="128">
        <v>8.7541397415111261E-3</v>
      </c>
      <c r="Q9" s="130">
        <v>-1319.1700717880531</v>
      </c>
    </row>
    <row r="10" spans="1:17" ht="23.25" customHeight="1" thickBot="1" x14ac:dyDescent="0.3">
      <c r="A10" s="23"/>
      <c r="B10" s="23"/>
      <c r="C10" s="349" t="s">
        <v>347</v>
      </c>
      <c r="D10" s="247">
        <f>76685.56*1.03*1.03*1.03</f>
        <v>83796.38192212001</v>
      </c>
      <c r="E10" s="247">
        <v>484</v>
      </c>
      <c r="F10" s="247">
        <f>240000+60000</f>
        <v>300000</v>
      </c>
      <c r="G10" s="247">
        <v>0</v>
      </c>
      <c r="H10" s="247">
        <f>M10-D10-E10-F10-G10-I10-J10-K10</f>
        <v>2536272.4915509298</v>
      </c>
      <c r="I10" s="247">
        <f>4000+16000+100000</f>
        <v>120000</v>
      </c>
      <c r="J10" s="247">
        <v>100</v>
      </c>
      <c r="K10" s="247">
        <v>1000</v>
      </c>
      <c r="L10" s="248">
        <f>SUM(D10:K10)</f>
        <v>3041652.8734730501</v>
      </c>
      <c r="M10" s="109">
        <f>'ES CT Gas Table A'!N15</f>
        <v>3041652.8734730501</v>
      </c>
      <c r="N10" s="109">
        <f t="shared" si="0"/>
        <v>0</v>
      </c>
      <c r="P10" s="128">
        <v>2.6700126211608934E-3</v>
      </c>
      <c r="Q10" s="130">
        <v>-402.34687189535617</v>
      </c>
    </row>
    <row r="11" spans="1:17" ht="18.75" thickBot="1" x14ac:dyDescent="0.3">
      <c r="A11" s="23"/>
      <c r="B11" s="23"/>
      <c r="C11" s="177" t="s">
        <v>219</v>
      </c>
      <c r="D11" s="247">
        <f>442788.991956*1.03*1.03*1.03</f>
        <v>483847.48681310401</v>
      </c>
      <c r="E11" s="247">
        <v>500</v>
      </c>
      <c r="F11" s="247">
        <f>80000+3000+30000</f>
        <v>113000</v>
      </c>
      <c r="G11" s="247">
        <f>25000+8964</f>
        <v>33964</v>
      </c>
      <c r="H11" s="247">
        <f>M11-D11-E11-F11-G11-I11-J11-K11</f>
        <v>4213633.2113725459</v>
      </c>
      <c r="I11" s="247">
        <f>150000+100000</f>
        <v>250000</v>
      </c>
      <c r="J11" s="247">
        <f>6000</f>
        <v>6000</v>
      </c>
      <c r="K11" s="247">
        <v>8000</v>
      </c>
      <c r="L11" s="265">
        <f>SUM(D11:K11)</f>
        <v>5108944.6981856497</v>
      </c>
      <c r="M11" s="109">
        <f>'ES CT Gas Table A'!N16</f>
        <v>5108944.6981856497</v>
      </c>
      <c r="N11" s="109">
        <f t="shared" si="0"/>
        <v>0</v>
      </c>
      <c r="P11" s="128">
        <v>8.9292225363413484E-4</v>
      </c>
      <c r="Q11" s="130">
        <v>-134.55534732238141</v>
      </c>
    </row>
    <row r="12" spans="1:17" ht="19.5" customHeight="1" thickBot="1" x14ac:dyDescent="0.3">
      <c r="A12" s="23"/>
      <c r="B12" s="23"/>
      <c r="C12" s="177" t="s">
        <v>124</v>
      </c>
      <c r="D12" s="247">
        <v>0</v>
      </c>
      <c r="E12" s="247">
        <v>0</v>
      </c>
      <c r="F12" s="247">
        <f>M12-D12-E12-G12-H12-I12-J12-K12</f>
        <v>10000</v>
      </c>
      <c r="G12" s="247">
        <v>0</v>
      </c>
      <c r="H12" s="247">
        <v>0</v>
      </c>
      <c r="I12" s="247">
        <v>0</v>
      </c>
      <c r="J12" s="247">
        <v>0</v>
      </c>
      <c r="K12" s="247">
        <v>0</v>
      </c>
      <c r="L12" s="265">
        <f>SUM(D12:K12)</f>
        <v>10000</v>
      </c>
      <c r="M12" s="109">
        <f>'ES CT Gas Table A'!N17</f>
        <v>10000</v>
      </c>
      <c r="N12" s="109">
        <f t="shared" si="0"/>
        <v>0</v>
      </c>
      <c r="P12" s="128">
        <v>2.1775982572866157E-2</v>
      </c>
      <c r="Q12" s="130">
        <v>-3281.4445898877739</v>
      </c>
    </row>
    <row r="13" spans="1:17" ht="24.75" customHeight="1" thickBot="1" x14ac:dyDescent="0.3">
      <c r="A13" s="24"/>
      <c r="B13" s="24"/>
      <c r="C13" s="453" t="s">
        <v>213</v>
      </c>
      <c r="D13" s="264">
        <f>SUM(D8:D12)</f>
        <v>922972.35237043409</v>
      </c>
      <c r="E13" s="264">
        <f t="shared" ref="E13:L13" si="1">SUM(E8:E12)</f>
        <v>1584</v>
      </c>
      <c r="F13" s="264">
        <f t="shared" si="1"/>
        <v>796000</v>
      </c>
      <c r="G13" s="264">
        <f t="shared" si="1"/>
        <v>58927</v>
      </c>
      <c r="H13" s="264">
        <f t="shared" si="1"/>
        <v>9655069.1558890902</v>
      </c>
      <c r="I13" s="264">
        <f t="shared" si="1"/>
        <v>566000</v>
      </c>
      <c r="J13" s="264">
        <f t="shared" si="1"/>
        <v>15100</v>
      </c>
      <c r="K13" s="264">
        <f t="shared" si="1"/>
        <v>17000</v>
      </c>
      <c r="L13" s="264">
        <f t="shared" si="1"/>
        <v>12032652.508259524</v>
      </c>
      <c r="M13" s="109">
        <f>'ES CT Gas Table A'!N18</f>
        <v>12032652.508259524</v>
      </c>
      <c r="N13" s="109">
        <f t="shared" si="0"/>
        <v>0</v>
      </c>
      <c r="Q13" s="130"/>
    </row>
    <row r="14" spans="1:17" ht="24" customHeight="1" thickBot="1" x14ac:dyDescent="0.3">
      <c r="A14" s="24"/>
      <c r="B14" s="24"/>
      <c r="C14" s="606" t="s">
        <v>101</v>
      </c>
      <c r="D14" s="606"/>
      <c r="E14" s="606"/>
      <c r="F14" s="606"/>
      <c r="G14" s="606"/>
      <c r="H14" s="606"/>
      <c r="I14" s="606"/>
      <c r="J14" s="606"/>
      <c r="K14" s="606"/>
      <c r="L14" s="606"/>
      <c r="Q14" s="130"/>
    </row>
    <row r="15" spans="1:17" ht="22.5" customHeight="1" x14ac:dyDescent="0.25">
      <c r="A15" s="23"/>
      <c r="B15" s="23"/>
      <c r="C15" s="460" t="s">
        <v>30</v>
      </c>
      <c r="D15" s="242">
        <f>231695.579809185*1.03*1.03*1.03</f>
        <v>253180.0158381513</v>
      </c>
      <c r="E15" s="242">
        <v>500</v>
      </c>
      <c r="F15" s="242">
        <f>400000+50000</f>
        <v>450000</v>
      </c>
      <c r="G15" s="242">
        <f>22956</f>
        <v>22956</v>
      </c>
      <c r="H15" s="242">
        <f>M15-D15-E15-F15-G15-I15-J15-K15</f>
        <v>3391907.0851074285</v>
      </c>
      <c r="I15" s="242">
        <v>40000</v>
      </c>
      <c r="J15" s="242">
        <v>1000</v>
      </c>
      <c r="K15" s="242">
        <v>1000</v>
      </c>
      <c r="L15" s="243">
        <f>SUM(D15:K15)</f>
        <v>4160543.1009455798</v>
      </c>
      <c r="M15" s="109">
        <f>'ES CT Gas Table A'!N20</f>
        <v>4160543.1009455798</v>
      </c>
      <c r="N15" s="109">
        <f>M15-L15</f>
        <v>0</v>
      </c>
      <c r="P15" s="128">
        <v>2.6029121400422107E-3</v>
      </c>
      <c r="Q15" s="130">
        <v>-392.23543329510079</v>
      </c>
    </row>
    <row r="16" spans="1:17" ht="27" customHeight="1" x14ac:dyDescent="0.25">
      <c r="A16" s="23"/>
      <c r="B16" s="23"/>
      <c r="C16" s="457" t="s">
        <v>31</v>
      </c>
      <c r="D16" s="458">
        <f>675668.67*1.03*1.03*1.03</f>
        <v>738321.39876309002</v>
      </c>
      <c r="E16" s="458">
        <v>500</v>
      </c>
      <c r="F16" s="458">
        <f>69538+15000+50000</f>
        <v>134538</v>
      </c>
      <c r="G16" s="458">
        <v>22320</v>
      </c>
      <c r="H16" s="458">
        <f>M16-D16-E16-F16-G16-I16-J16-K16</f>
        <v>2881586.1421824903</v>
      </c>
      <c r="I16" s="458">
        <v>42000</v>
      </c>
      <c r="J16" s="458">
        <v>6000</v>
      </c>
      <c r="K16" s="458">
        <v>2000</v>
      </c>
      <c r="L16" s="459">
        <f>SUM(D16:K16)</f>
        <v>3827265.5409455802</v>
      </c>
      <c r="M16" s="109">
        <f>'ES CT Gas Table A'!N21</f>
        <v>3827265.5409455802</v>
      </c>
      <c r="N16" s="109">
        <f>M16-L16</f>
        <v>0</v>
      </c>
      <c r="P16" s="128">
        <v>3.063948909528894E-3</v>
      </c>
      <c r="Q16" s="130">
        <v>-461.70952512581857</v>
      </c>
    </row>
    <row r="17" spans="1:17" ht="39" customHeight="1" x14ac:dyDescent="0.25">
      <c r="A17" s="23"/>
      <c r="B17" s="23"/>
      <c r="C17" s="464" t="s">
        <v>276</v>
      </c>
      <c r="D17" s="244">
        <f>84458.97*1.03*1.03*1.03</f>
        <v>92290.596911190005</v>
      </c>
      <c r="E17" s="244">
        <v>100</v>
      </c>
      <c r="F17" s="244">
        <v>110000</v>
      </c>
      <c r="G17" s="244">
        <v>837</v>
      </c>
      <c r="H17" s="244">
        <f>M17-D17-E17-F17-G17-I17-J17-K17</f>
        <v>487144.11683257006</v>
      </c>
      <c r="I17" s="244">
        <v>16000</v>
      </c>
      <c r="J17" s="244">
        <v>1000</v>
      </c>
      <c r="K17" s="244">
        <v>1000</v>
      </c>
      <c r="L17" s="462">
        <f>SUM(D17:K17)</f>
        <v>708371.71374376002</v>
      </c>
      <c r="M17" s="109">
        <f>'ES CT Gas Table A'!N22</f>
        <v>708371.71374376002</v>
      </c>
      <c r="N17" s="109">
        <f>M17-L17</f>
        <v>0</v>
      </c>
      <c r="P17" s="128">
        <v>1.7508279483022253E-3</v>
      </c>
      <c r="Q17" s="130">
        <v>-263.83401435761061</v>
      </c>
    </row>
    <row r="18" spans="1:17" ht="24.75" customHeight="1" thickBot="1" x14ac:dyDescent="0.3">
      <c r="A18" s="24"/>
      <c r="B18" s="24"/>
      <c r="C18" s="463" t="s">
        <v>11</v>
      </c>
      <c r="D18" s="461">
        <f>59938.79*1.03*1.03*1.03</f>
        <v>65496.734180330008</v>
      </c>
      <c r="E18" s="461">
        <v>500</v>
      </c>
      <c r="F18" s="461">
        <f>8000+3000</f>
        <v>11000</v>
      </c>
      <c r="G18" s="461">
        <v>0</v>
      </c>
      <c r="H18" s="458">
        <f>M18-D18-E18-F18-J18-K18-G18-I18</f>
        <v>615135.88230377994</v>
      </c>
      <c r="I18" s="461">
        <v>38000</v>
      </c>
      <c r="J18" s="461">
        <v>1000</v>
      </c>
      <c r="K18" s="461">
        <f>2000</f>
        <v>2000</v>
      </c>
      <c r="L18" s="461">
        <f>SUM(D18:K18)</f>
        <v>733132.61648411001</v>
      </c>
      <c r="M18" s="109">
        <f>'ES CT Gas Table A'!N23</f>
        <v>733132.61648411001</v>
      </c>
      <c r="N18" s="109">
        <f>M18-L18</f>
        <v>0</v>
      </c>
      <c r="P18" s="128">
        <v>3.0639489095288941E-4</v>
      </c>
      <c r="Q18" s="130">
        <v>-46.170952512581856</v>
      </c>
    </row>
    <row r="19" spans="1:17" ht="19.5" customHeight="1" thickBot="1" x14ac:dyDescent="0.3">
      <c r="A19" s="24"/>
      <c r="B19" s="24"/>
      <c r="C19" s="453" t="s">
        <v>227</v>
      </c>
      <c r="D19" s="264">
        <f>SUM(D15:D18)</f>
        <v>1149288.7456927614</v>
      </c>
      <c r="E19" s="264">
        <f t="shared" ref="E19:L19" si="2">SUM(E15:E18)</f>
        <v>1600</v>
      </c>
      <c r="F19" s="264">
        <f t="shared" si="2"/>
        <v>705538</v>
      </c>
      <c r="G19" s="264">
        <f t="shared" si="2"/>
        <v>46113</v>
      </c>
      <c r="H19" s="264">
        <f t="shared" si="2"/>
        <v>7375773.2264262689</v>
      </c>
      <c r="I19" s="264">
        <f t="shared" si="2"/>
        <v>136000</v>
      </c>
      <c r="J19" s="264">
        <f t="shared" si="2"/>
        <v>9000</v>
      </c>
      <c r="K19" s="264">
        <f t="shared" si="2"/>
        <v>6000</v>
      </c>
      <c r="L19" s="264">
        <f t="shared" si="2"/>
        <v>9429312.9721190296</v>
      </c>
      <c r="M19" s="109">
        <f>'ES CT Gas Table A'!N24</f>
        <v>9429312.9721190296</v>
      </c>
      <c r="N19" s="109">
        <f>M19-L19</f>
        <v>0</v>
      </c>
      <c r="P19" s="128">
        <v>4.2079765270243867E-2</v>
      </c>
      <c r="Q19" s="130">
        <v>-6341.0419083383185</v>
      </c>
    </row>
    <row r="20" spans="1:17" ht="24" customHeight="1" thickBot="1" x14ac:dyDescent="0.3">
      <c r="A20" s="23"/>
      <c r="B20" s="23"/>
      <c r="C20" s="602" t="s">
        <v>200</v>
      </c>
      <c r="D20" s="602"/>
      <c r="E20" s="602"/>
      <c r="F20" s="602"/>
      <c r="G20" s="602"/>
      <c r="H20" s="602"/>
      <c r="I20" s="602"/>
      <c r="J20" s="602"/>
      <c r="K20" s="602"/>
      <c r="L20" s="602"/>
      <c r="Q20" s="130">
        <v>-1090966</v>
      </c>
    </row>
    <row r="21" spans="1:17" ht="18" x14ac:dyDescent="0.25">
      <c r="A21" s="24"/>
      <c r="B21" s="24"/>
      <c r="C21" s="253" t="s">
        <v>294</v>
      </c>
      <c r="D21" s="455">
        <f>6924*1.03*1.03</f>
        <v>7345.6716000000006</v>
      </c>
      <c r="E21" s="455">
        <v>0</v>
      </c>
      <c r="F21" s="455">
        <f>M21-D21-E21-G21-H21-I21-J21-K21</f>
        <v>65161.998399999997</v>
      </c>
      <c r="G21" s="455">
        <v>0</v>
      </c>
      <c r="H21" s="455">
        <v>0</v>
      </c>
      <c r="I21" s="455">
        <v>4159</v>
      </c>
      <c r="J21" s="455">
        <f>0</f>
        <v>0</v>
      </c>
      <c r="K21" s="455">
        <f>0</f>
        <v>0</v>
      </c>
      <c r="L21" s="254">
        <f>SUM(D21:K21)</f>
        <v>76666.67</v>
      </c>
      <c r="M21" s="109">
        <f>'ES CT Gas Table A'!N26</f>
        <v>76666.67</v>
      </c>
      <c r="N21" s="109">
        <f>M21-L21</f>
        <v>0</v>
      </c>
    </row>
    <row r="22" spans="1:17" ht="21.75" customHeight="1" x14ac:dyDescent="0.25">
      <c r="A22" s="24"/>
      <c r="B22" s="24"/>
      <c r="C22" s="255" t="s">
        <v>286</v>
      </c>
      <c r="D22" s="256">
        <f>6924*1.03*1.03</f>
        <v>7345.6716000000006</v>
      </c>
      <c r="E22" s="454">
        <v>0</v>
      </c>
      <c r="F22" s="454">
        <f>M22-D22-E22-G22-H22-I22-J22-K22</f>
        <v>75320.998399999997</v>
      </c>
      <c r="G22" s="454">
        <v>0</v>
      </c>
      <c r="H22" s="454">
        <v>0</v>
      </c>
      <c r="I22" s="454">
        <v>0</v>
      </c>
      <c r="J22" s="454">
        <v>0</v>
      </c>
      <c r="K22" s="454">
        <v>0</v>
      </c>
      <c r="L22" s="256">
        <f>SUM(D22:K22)</f>
        <v>82666.67</v>
      </c>
      <c r="M22" s="109">
        <f>'ES CT Gas Table A'!N27</f>
        <v>82666.67</v>
      </c>
      <c r="N22" s="109">
        <f>M22-L22</f>
        <v>0</v>
      </c>
    </row>
    <row r="23" spans="1:17" ht="20.25" customHeight="1" x14ac:dyDescent="0.25">
      <c r="A23" s="24"/>
      <c r="B23" s="24"/>
      <c r="C23" s="257" t="s">
        <v>287</v>
      </c>
      <c r="D23" s="455">
        <f>4333*1.03*1.03</f>
        <v>4596.8796999999995</v>
      </c>
      <c r="E23" s="455">
        <v>0</v>
      </c>
      <c r="F23" s="455">
        <f>M23-D23-E23-G23-H23-I23-J23-K23</f>
        <v>66903.120299999995</v>
      </c>
      <c r="G23" s="455">
        <v>0</v>
      </c>
      <c r="H23" s="455">
        <v>0</v>
      </c>
      <c r="I23" s="455">
        <f>2000+5000</f>
        <v>7000</v>
      </c>
      <c r="J23" s="455">
        <f>0</f>
        <v>0</v>
      </c>
      <c r="K23" s="455">
        <v>1500</v>
      </c>
      <c r="L23" s="258">
        <f>SUM(D23:K23)</f>
        <v>80000</v>
      </c>
      <c r="M23" s="109">
        <f>'ES CT Gas Table A'!N28</f>
        <v>80000</v>
      </c>
      <c r="N23" s="109">
        <f>M23-L23</f>
        <v>0</v>
      </c>
    </row>
    <row r="24" spans="1:17" ht="18.75" thickBot="1" x14ac:dyDescent="0.3">
      <c r="A24" s="24"/>
      <c r="B24" s="24"/>
      <c r="C24" s="259" t="s">
        <v>288</v>
      </c>
      <c r="D24" s="454">
        <f>11000*1.03*1.03</f>
        <v>11669.9</v>
      </c>
      <c r="E24" s="454">
        <v>0</v>
      </c>
      <c r="F24" s="454">
        <f>M24-D24-E24-G24-H24-I24-J24-K24</f>
        <v>58330.1</v>
      </c>
      <c r="G24" s="454">
        <f>0</f>
        <v>0</v>
      </c>
      <c r="H24" s="454">
        <v>0</v>
      </c>
      <c r="I24" s="454">
        <v>0</v>
      </c>
      <c r="J24" s="454">
        <v>0</v>
      </c>
      <c r="K24" s="454">
        <v>0</v>
      </c>
      <c r="L24" s="260">
        <f>SUM(D24:K24)</f>
        <v>70000</v>
      </c>
      <c r="M24" s="109">
        <f>'ES CT Gas Table A'!N29</f>
        <v>70000</v>
      </c>
      <c r="N24" s="109">
        <f>M24-L24</f>
        <v>0</v>
      </c>
    </row>
    <row r="25" spans="1:17" ht="22.5" customHeight="1" thickBot="1" x14ac:dyDescent="0.3">
      <c r="A25" s="24"/>
      <c r="B25" s="24"/>
      <c r="C25" s="453" t="s">
        <v>228</v>
      </c>
      <c r="D25" s="264">
        <f t="shared" ref="D25:L25" si="3">SUM(D21:D24)</f>
        <v>30958.122900000002</v>
      </c>
      <c r="E25" s="264">
        <f t="shared" si="3"/>
        <v>0</v>
      </c>
      <c r="F25" s="264">
        <f t="shared" si="3"/>
        <v>265716.21709999995</v>
      </c>
      <c r="G25" s="264">
        <f t="shared" si="3"/>
        <v>0</v>
      </c>
      <c r="H25" s="264">
        <f t="shared" si="3"/>
        <v>0</v>
      </c>
      <c r="I25" s="264">
        <f t="shared" si="3"/>
        <v>11159</v>
      </c>
      <c r="J25" s="264">
        <f t="shared" si="3"/>
        <v>0</v>
      </c>
      <c r="K25" s="264">
        <f t="shared" si="3"/>
        <v>1500</v>
      </c>
      <c r="L25" s="264">
        <f t="shared" si="3"/>
        <v>309333.33999999997</v>
      </c>
      <c r="M25" s="109">
        <f>'ES CT Gas Table A'!N30</f>
        <v>309333.33999999997</v>
      </c>
      <c r="N25" s="109">
        <f>M25-L25</f>
        <v>0</v>
      </c>
    </row>
    <row r="26" spans="1:17" s="25" customFormat="1" ht="24" customHeight="1" thickBot="1" x14ac:dyDescent="0.3">
      <c r="A26" s="24"/>
      <c r="B26" s="24"/>
      <c r="C26" s="603" t="s">
        <v>32</v>
      </c>
      <c r="D26" s="603"/>
      <c r="E26" s="603"/>
      <c r="F26" s="603"/>
      <c r="G26" s="603"/>
      <c r="H26" s="603"/>
      <c r="I26" s="603"/>
      <c r="J26" s="603"/>
      <c r="K26" s="603"/>
      <c r="L26" s="603"/>
    </row>
    <row r="27" spans="1:17" ht="36.75" thickBot="1" x14ac:dyDescent="0.3">
      <c r="A27" s="24"/>
      <c r="B27" s="24"/>
      <c r="C27" s="239" t="s">
        <v>220</v>
      </c>
      <c r="D27" s="247">
        <v>0</v>
      </c>
      <c r="E27" s="273">
        <v>0</v>
      </c>
      <c r="F27" s="252">
        <v>0</v>
      </c>
      <c r="G27" s="273">
        <v>0</v>
      </c>
      <c r="H27" s="273">
        <v>0</v>
      </c>
      <c r="I27" s="273">
        <v>0</v>
      </c>
      <c r="J27" s="274">
        <f>M27-D27-E27-G27-H27-I27-F27-K27</f>
        <v>84522.893307485952</v>
      </c>
      <c r="K27" s="273">
        <v>0</v>
      </c>
      <c r="L27" s="271">
        <f>SUM(D27:K27)</f>
        <v>84522.893307485952</v>
      </c>
      <c r="M27" s="109">
        <f>'ES CT Gas Table A'!N32</f>
        <v>84522.893307485952</v>
      </c>
      <c r="N27" s="109">
        <f>M27-L27</f>
        <v>0</v>
      </c>
    </row>
    <row r="28" spans="1:17" ht="21.75" customHeight="1" thickBot="1" x14ac:dyDescent="0.3">
      <c r="A28" s="24"/>
      <c r="B28" s="24"/>
      <c r="C28" s="186" t="s">
        <v>121</v>
      </c>
      <c r="D28" s="247">
        <v>0</v>
      </c>
      <c r="E28" s="273">
        <v>0</v>
      </c>
      <c r="F28" s="252">
        <v>0</v>
      </c>
      <c r="G28" s="273">
        <v>0</v>
      </c>
      <c r="H28" s="273">
        <v>0</v>
      </c>
      <c r="I28" s="273">
        <v>0</v>
      </c>
      <c r="J28" s="274">
        <f>M28-D28-E28-G28-H28-I28-F28-K28</f>
        <v>93905.470565267999</v>
      </c>
      <c r="K28" s="273">
        <v>0</v>
      </c>
      <c r="L28" s="271">
        <f>SUM(D28:K28)</f>
        <v>93905.470565267999</v>
      </c>
      <c r="M28" s="109">
        <f>'ES CT Gas Table A'!N33</f>
        <v>93905.470565267999</v>
      </c>
      <c r="N28" s="109">
        <f>M28-L28</f>
        <v>0</v>
      </c>
    </row>
    <row r="29" spans="1:17" ht="21.75" customHeight="1" thickBot="1" x14ac:dyDescent="0.3">
      <c r="A29" s="24"/>
      <c r="B29" s="24"/>
      <c r="C29" s="275" t="s">
        <v>43</v>
      </c>
      <c r="D29" s="247">
        <f>14420*1.03*1.03*1.03</f>
        <v>15757.12334</v>
      </c>
      <c r="E29" s="273">
        <v>0</v>
      </c>
      <c r="F29" s="252">
        <f>M29-D29-E29-G29-H29-I29-J29-K29</f>
        <v>34242.977320389306</v>
      </c>
      <c r="G29" s="273">
        <v>0</v>
      </c>
      <c r="H29" s="273">
        <v>0</v>
      </c>
      <c r="I29" s="273">
        <v>0</v>
      </c>
      <c r="J29" s="273">
        <v>0</v>
      </c>
      <c r="K29" s="273">
        <v>0</v>
      </c>
      <c r="L29" s="271">
        <f>SUM(D29:K29)</f>
        <v>50000.100660389304</v>
      </c>
      <c r="M29" s="109">
        <f>'ES CT Gas Table A'!N34</f>
        <v>50000.100660389304</v>
      </c>
      <c r="N29" s="109">
        <f>M29-L29</f>
        <v>0</v>
      </c>
    </row>
    <row r="30" spans="1:17" s="25" customFormat="1" ht="22.5" customHeight="1" thickBot="1" x14ac:dyDescent="0.3">
      <c r="A30" s="24"/>
      <c r="B30" s="24"/>
      <c r="C30" s="453" t="s">
        <v>229</v>
      </c>
      <c r="D30" s="264">
        <f t="shared" ref="D30:L30" si="4">SUM(D27:D29)</f>
        <v>15757.12334</v>
      </c>
      <c r="E30" s="264">
        <f t="shared" si="4"/>
        <v>0</v>
      </c>
      <c r="F30" s="264">
        <f t="shared" si="4"/>
        <v>34242.977320389306</v>
      </c>
      <c r="G30" s="264">
        <f t="shared" si="4"/>
        <v>0</v>
      </c>
      <c r="H30" s="264">
        <f t="shared" si="4"/>
        <v>0</v>
      </c>
      <c r="I30" s="264">
        <f t="shared" si="4"/>
        <v>0</v>
      </c>
      <c r="J30" s="264">
        <f t="shared" si="4"/>
        <v>178428.36387275395</v>
      </c>
      <c r="K30" s="264">
        <f t="shared" si="4"/>
        <v>0</v>
      </c>
      <c r="L30" s="264">
        <f t="shared" si="4"/>
        <v>228428.46453314327</v>
      </c>
      <c r="M30" s="109">
        <f>'ES CT Gas Table A'!N35</f>
        <v>228428.46453314327</v>
      </c>
      <c r="N30" s="109">
        <f>M30-L30</f>
        <v>0</v>
      </c>
    </row>
    <row r="31" spans="1:17" ht="24" customHeight="1" thickBot="1" x14ac:dyDescent="0.3">
      <c r="A31" s="24"/>
      <c r="B31" s="24"/>
      <c r="C31" s="603" t="s">
        <v>33</v>
      </c>
      <c r="D31" s="603"/>
      <c r="E31" s="603"/>
      <c r="F31" s="603"/>
      <c r="G31" s="603"/>
      <c r="H31" s="603"/>
      <c r="I31" s="603"/>
      <c r="J31" s="603"/>
      <c r="K31" s="603"/>
      <c r="L31" s="603"/>
    </row>
    <row r="32" spans="1:17" ht="18.75" thickBot="1" x14ac:dyDescent="0.3">
      <c r="A32" s="24"/>
      <c r="B32" s="24"/>
      <c r="C32" s="181" t="s">
        <v>13</v>
      </c>
      <c r="D32" s="276">
        <f>(75750*1.03+40000)*1.03*1.03</f>
        <v>125210.07025</v>
      </c>
      <c r="E32" s="276">
        <v>0</v>
      </c>
      <c r="F32" s="276">
        <f>M32-D32-E32-G32-H32-I32-J32-K32</f>
        <v>7722.7464471869898</v>
      </c>
      <c r="G32" s="276">
        <f>15000</f>
        <v>15000</v>
      </c>
      <c r="H32" s="276">
        <v>0</v>
      </c>
      <c r="I32" s="276">
        <v>0</v>
      </c>
      <c r="J32" s="276">
        <f>2000</f>
        <v>2000</v>
      </c>
      <c r="K32" s="276">
        <f>1000</f>
        <v>1000</v>
      </c>
      <c r="L32" s="248">
        <f>SUM(D32:K32)</f>
        <v>150932.81669718699</v>
      </c>
      <c r="M32" s="109">
        <f>'ES CT Gas Table A'!N37</f>
        <v>150932.81669718699</v>
      </c>
      <c r="N32" s="109">
        <f t="shared" ref="N32:N41" si="5">M32-L32</f>
        <v>0</v>
      </c>
    </row>
    <row r="33" spans="1:18" ht="18.75" thickBot="1" x14ac:dyDescent="0.3">
      <c r="A33" s="24"/>
      <c r="B33" s="24"/>
      <c r="C33" s="181" t="s">
        <v>14</v>
      </c>
      <c r="D33" s="276">
        <v>0</v>
      </c>
      <c r="E33" s="276">
        <v>0</v>
      </c>
      <c r="F33" s="276">
        <v>0</v>
      </c>
      <c r="G33" s="276">
        <v>0</v>
      </c>
      <c r="H33" s="276">
        <v>0</v>
      </c>
      <c r="I33" s="276">
        <f>M33-D33-E33-F33-G33-H33-J33-K33</f>
        <v>40100.498656621698</v>
      </c>
      <c r="J33" s="276">
        <v>0</v>
      </c>
      <c r="K33" s="276">
        <v>0</v>
      </c>
      <c r="L33" s="248">
        <f t="shared" ref="L33:L39" si="6">SUM(D33:K33)</f>
        <v>40100.498656621698</v>
      </c>
      <c r="M33" s="109">
        <f>'ES CT Gas Table A'!N38</f>
        <v>40100.498656621698</v>
      </c>
      <c r="N33" s="109">
        <f t="shared" si="5"/>
        <v>0</v>
      </c>
    </row>
    <row r="34" spans="1:18" ht="19.5" customHeight="1" thickBot="1" x14ac:dyDescent="0.3">
      <c r="A34" s="24"/>
      <c r="B34" s="24"/>
      <c r="C34" s="181" t="s">
        <v>16</v>
      </c>
      <c r="D34" s="276">
        <f>'ES CT Gas 2023 Table C '!D34*1.03</f>
        <v>59634.291275100011</v>
      </c>
      <c r="E34" s="276">
        <v>0</v>
      </c>
      <c r="F34" s="276"/>
      <c r="G34" s="276">
        <f>M34-D34-E34-F34-H34-I34-J34-K34</f>
        <v>19524.010706067987</v>
      </c>
      <c r="H34" s="276">
        <v>0</v>
      </c>
      <c r="I34" s="276">
        <v>0</v>
      </c>
      <c r="J34" s="276">
        <v>0</v>
      </c>
      <c r="K34" s="276">
        <v>0</v>
      </c>
      <c r="L34" s="248">
        <f t="shared" si="6"/>
        <v>79158.301981167999</v>
      </c>
      <c r="M34" s="109">
        <f>'ES CT Gas Table A'!N39</f>
        <v>79158.301981167999</v>
      </c>
      <c r="N34" s="109">
        <f t="shared" si="5"/>
        <v>0</v>
      </c>
    </row>
    <row r="35" spans="1:18" s="18" customFormat="1" ht="20.25" customHeight="1" thickBot="1" x14ac:dyDescent="0.3">
      <c r="A35" s="23"/>
      <c r="B35" s="23"/>
      <c r="C35" s="240" t="s">
        <v>150</v>
      </c>
      <c r="D35" s="276">
        <v>0</v>
      </c>
      <c r="E35" s="276">
        <v>0</v>
      </c>
      <c r="F35" s="276">
        <f t="shared" ref="F35:F39" si="7">M35-D35-E35-G35-H35-I35-J35-K35</f>
        <v>300000</v>
      </c>
      <c r="G35" s="276">
        <v>0</v>
      </c>
      <c r="H35" s="276">
        <v>0</v>
      </c>
      <c r="I35" s="276">
        <v>0</v>
      </c>
      <c r="J35" s="276">
        <v>0</v>
      </c>
      <c r="K35" s="276">
        <v>0</v>
      </c>
      <c r="L35" s="248">
        <f t="shared" si="6"/>
        <v>300000</v>
      </c>
      <c r="M35" s="109">
        <f>'ES CT Gas Table A'!N40</f>
        <v>300000</v>
      </c>
      <c r="N35" s="109">
        <f t="shared" si="5"/>
        <v>0</v>
      </c>
    </row>
    <row r="36" spans="1:18" s="18" customFormat="1" ht="18.75" customHeight="1" thickBot="1" x14ac:dyDescent="0.3">
      <c r="A36" s="23"/>
      <c r="B36" s="23"/>
      <c r="C36" s="240" t="s">
        <v>147</v>
      </c>
      <c r="D36" s="276">
        <v>0</v>
      </c>
      <c r="E36" s="276">
        <v>0</v>
      </c>
      <c r="F36" s="276">
        <f t="shared" si="7"/>
        <v>29607</v>
      </c>
      <c r="G36" s="276">
        <v>0</v>
      </c>
      <c r="H36" s="276">
        <v>0</v>
      </c>
      <c r="I36" s="276">
        <v>0</v>
      </c>
      <c r="J36" s="276">
        <v>0</v>
      </c>
      <c r="K36" s="276">
        <v>0</v>
      </c>
      <c r="L36" s="248">
        <f t="shared" si="6"/>
        <v>29607</v>
      </c>
      <c r="M36" s="109">
        <f>'ES CT Gas Table A'!N41</f>
        <v>29607</v>
      </c>
      <c r="N36" s="109">
        <f t="shared" si="5"/>
        <v>0</v>
      </c>
    </row>
    <row r="37" spans="1:18" ht="19.5" customHeight="1" thickBot="1" x14ac:dyDescent="0.3">
      <c r="A37" s="24"/>
      <c r="B37" s="24"/>
      <c r="C37" s="181" t="s">
        <v>15</v>
      </c>
      <c r="D37" s="276">
        <f>25841.7182283183*1.03*1.03*1.03</f>
        <v>28237.943234475577</v>
      </c>
      <c r="E37" s="276">
        <v>0</v>
      </c>
      <c r="F37" s="276">
        <f t="shared" si="7"/>
        <v>87154.926954267212</v>
      </c>
      <c r="G37" s="276">
        <f>10333+15000</f>
        <v>25333</v>
      </c>
      <c r="H37" s="276">
        <v>0</v>
      </c>
      <c r="I37" s="276">
        <v>0</v>
      </c>
      <c r="J37" s="276">
        <v>0</v>
      </c>
      <c r="K37" s="276">
        <v>0</v>
      </c>
      <c r="L37" s="248">
        <f>SUM(D37:K37)</f>
        <v>140725.87018874279</v>
      </c>
      <c r="M37" s="109">
        <f>'ES CT Gas Table A'!N42</f>
        <v>140725.87018874279</v>
      </c>
      <c r="N37" s="109">
        <f t="shared" si="5"/>
        <v>0</v>
      </c>
    </row>
    <row r="38" spans="1:18" ht="21.75" customHeight="1" thickBot="1" x14ac:dyDescent="0.3">
      <c r="A38" s="23"/>
      <c r="B38" s="23"/>
      <c r="C38" s="181" t="s">
        <v>148</v>
      </c>
      <c r="D38" s="276">
        <v>0</v>
      </c>
      <c r="E38" s="276">
        <v>0</v>
      </c>
      <c r="F38" s="276">
        <f t="shared" si="7"/>
        <v>53333</v>
      </c>
      <c r="G38" s="276">
        <v>0</v>
      </c>
      <c r="H38" s="276">
        <v>0</v>
      </c>
      <c r="I38" s="276">
        <v>0</v>
      </c>
      <c r="J38" s="276">
        <v>0</v>
      </c>
      <c r="K38" s="276">
        <v>0</v>
      </c>
      <c r="L38" s="248">
        <f t="shared" si="6"/>
        <v>53333</v>
      </c>
      <c r="M38" s="109">
        <f>'ES CT Gas Table A'!N43</f>
        <v>53333</v>
      </c>
      <c r="N38" s="109">
        <f t="shared" si="5"/>
        <v>0</v>
      </c>
    </row>
    <row r="39" spans="1:18" ht="22.5" customHeight="1" thickBot="1" x14ac:dyDescent="0.3">
      <c r="A39" s="23"/>
      <c r="B39" s="23"/>
      <c r="C39" s="181" t="s">
        <v>151</v>
      </c>
      <c r="D39" s="276">
        <v>0</v>
      </c>
      <c r="E39" s="276">
        <v>0</v>
      </c>
      <c r="F39" s="276">
        <f t="shared" si="7"/>
        <v>10000</v>
      </c>
      <c r="G39" s="276">
        <v>0</v>
      </c>
      <c r="H39" s="276">
        <v>0</v>
      </c>
      <c r="I39" s="276">
        <v>0</v>
      </c>
      <c r="J39" s="276">
        <v>0</v>
      </c>
      <c r="K39" s="276">
        <v>0</v>
      </c>
      <c r="L39" s="248">
        <f t="shared" si="6"/>
        <v>10000</v>
      </c>
      <c r="M39" s="109">
        <f>'ES CT Gas Table A'!N44</f>
        <v>10000</v>
      </c>
      <c r="N39" s="109">
        <f t="shared" si="5"/>
        <v>0</v>
      </c>
    </row>
    <row r="40" spans="1:18" ht="23.25" customHeight="1" thickBot="1" x14ac:dyDescent="0.3">
      <c r="A40" s="23"/>
      <c r="B40" s="23"/>
      <c r="C40" s="181" t="s">
        <v>149</v>
      </c>
      <c r="D40" s="276">
        <v>0</v>
      </c>
      <c r="E40" s="276">
        <v>0</v>
      </c>
      <c r="F40" s="276">
        <v>0</v>
      </c>
      <c r="G40" s="276">
        <v>0</v>
      </c>
      <c r="H40" s="276">
        <v>0</v>
      </c>
      <c r="I40" s="276">
        <v>0</v>
      </c>
      <c r="J40" s="276">
        <f>M40</f>
        <v>1135532.2103375001</v>
      </c>
      <c r="K40" s="276">
        <v>0</v>
      </c>
      <c r="L40" s="248">
        <f>SUM(D40:K40)</f>
        <v>1135532.2103375001</v>
      </c>
      <c r="M40" s="109">
        <f>'ES CT Gas Table A'!N45</f>
        <v>1135532.2103375001</v>
      </c>
      <c r="N40" s="109">
        <f t="shared" si="5"/>
        <v>0</v>
      </c>
    </row>
    <row r="41" spans="1:18" ht="21.75" customHeight="1" thickBot="1" x14ac:dyDescent="0.3">
      <c r="A41" s="23"/>
      <c r="B41" s="23"/>
      <c r="C41" s="453" t="s">
        <v>34</v>
      </c>
      <c r="D41" s="277">
        <f t="shared" ref="D41:L41" si="8">SUM(D32:D40)</f>
        <v>213082.30475957558</v>
      </c>
      <c r="E41" s="267">
        <f t="shared" si="8"/>
        <v>0</v>
      </c>
      <c r="F41" s="267">
        <f t="shared" si="8"/>
        <v>487817.67340145417</v>
      </c>
      <c r="G41" s="267">
        <f t="shared" si="8"/>
        <v>59857.010706067987</v>
      </c>
      <c r="H41" s="267">
        <f t="shared" si="8"/>
        <v>0</v>
      </c>
      <c r="I41" s="267">
        <f t="shared" si="8"/>
        <v>40100.498656621698</v>
      </c>
      <c r="J41" s="267">
        <f t="shared" si="8"/>
        <v>1137532.2103375001</v>
      </c>
      <c r="K41" s="267">
        <f t="shared" si="8"/>
        <v>1000</v>
      </c>
      <c r="L41" s="267">
        <f t="shared" si="8"/>
        <v>1939389.6978612195</v>
      </c>
      <c r="M41" s="109">
        <f>'ES CT Gas Table A'!N46</f>
        <v>1939389.6978612195</v>
      </c>
      <c r="N41" s="109">
        <f t="shared" si="5"/>
        <v>0</v>
      </c>
    </row>
    <row r="42" spans="1:18" ht="16.5" hidden="1" customHeight="1" thickBot="1" x14ac:dyDescent="0.3">
      <c r="A42" s="23"/>
      <c r="B42" s="23"/>
      <c r="C42" s="604" t="s">
        <v>35</v>
      </c>
      <c r="D42" s="604"/>
      <c r="E42" s="604"/>
      <c r="F42" s="604"/>
      <c r="G42" s="604"/>
      <c r="H42" s="604"/>
      <c r="I42" s="604"/>
      <c r="J42" s="604"/>
      <c r="K42" s="604"/>
      <c r="L42" s="604"/>
    </row>
    <row r="43" spans="1:18" ht="16.5" hidden="1" customHeight="1" thickBot="1" x14ac:dyDescent="0.3">
      <c r="A43" s="23"/>
      <c r="B43" s="23"/>
      <c r="C43" s="278" t="s">
        <v>6</v>
      </c>
      <c r="D43" s="279">
        <f>D13+D21*0.8+D23*0.5+D22*0.5+D27+D33*0.8+D24*0.8</f>
        <v>944156.08530043415</v>
      </c>
      <c r="E43" s="279">
        <f t="shared" ref="E43:L43" si="9">E13+E21*0.8+E23*0.5+E22*0.5+E27+E33*0.8+E24*0.8</f>
        <v>1584</v>
      </c>
      <c r="F43" s="279">
        <f t="shared" si="9"/>
        <v>965905.73806999996</v>
      </c>
      <c r="G43" s="279">
        <f t="shared" si="9"/>
        <v>58927</v>
      </c>
      <c r="H43" s="279">
        <f t="shared" si="9"/>
        <v>9655069.1558890902</v>
      </c>
      <c r="I43" s="279">
        <f t="shared" si="9"/>
        <v>604907.59892529726</v>
      </c>
      <c r="J43" s="279">
        <f t="shared" si="9"/>
        <v>99622.893307485952</v>
      </c>
      <c r="K43" s="279">
        <f t="shared" si="9"/>
        <v>17750</v>
      </c>
      <c r="L43" s="279">
        <f t="shared" si="9"/>
        <v>12347922.471492307</v>
      </c>
      <c r="M43" s="109">
        <f>'ES CT Gas Table A'!M47</f>
        <v>12674258.672915449</v>
      </c>
      <c r="N43" s="109">
        <f>M43-L43</f>
        <v>326336.20142314211</v>
      </c>
    </row>
    <row r="44" spans="1:18" ht="16.5" hidden="1" customHeight="1" thickBot="1" x14ac:dyDescent="0.3">
      <c r="C44" s="278" t="s">
        <v>7</v>
      </c>
      <c r="D44" s="279">
        <f>D19+D21*0.2+D23*0.5+D22*0.5+D24*0.2+D28+D33*0.2</f>
        <v>1159063.1356627613</v>
      </c>
      <c r="E44" s="279">
        <f t="shared" ref="E44:L44" si="10">E19+E21*0.2+E23*0.5+E22*0.5+E24*0.2+E28+E33*0.2</f>
        <v>1600</v>
      </c>
      <c r="F44" s="279">
        <f t="shared" si="10"/>
        <v>801348.47903000005</v>
      </c>
      <c r="G44" s="279">
        <f t="shared" si="10"/>
        <v>46113</v>
      </c>
      <c r="H44" s="279">
        <f t="shared" si="10"/>
        <v>7375773.2264262689</v>
      </c>
      <c r="I44" s="279">
        <f t="shared" si="10"/>
        <v>148351.89973132432</v>
      </c>
      <c r="J44" s="279">
        <f t="shared" si="10"/>
        <v>102905.470565268</v>
      </c>
      <c r="K44" s="279">
        <f t="shared" si="10"/>
        <v>6750</v>
      </c>
      <c r="L44" s="279">
        <f t="shared" si="10"/>
        <v>9641905.2114156242</v>
      </c>
      <c r="M44" s="109">
        <f>'ES CT Gas Table A'!M48</f>
        <v>9891905.2114156242</v>
      </c>
      <c r="N44" s="109">
        <f>M44-L44</f>
        <v>250000</v>
      </c>
    </row>
    <row r="45" spans="1:18" ht="16.5" hidden="1" customHeight="1" thickBot="1" x14ac:dyDescent="0.3">
      <c r="A45" s="27"/>
      <c r="B45" s="27"/>
      <c r="C45" s="278" t="s">
        <v>18</v>
      </c>
      <c r="D45" s="456">
        <f t="shared" ref="D45:K45" si="11">+D29+D32+SUM(D34:D40)</f>
        <v>228839.4280995756</v>
      </c>
      <c r="E45" s="279">
        <f t="shared" si="11"/>
        <v>0</v>
      </c>
      <c r="F45" s="279">
        <f t="shared" si="11"/>
        <v>522060.65072184347</v>
      </c>
      <c r="G45" s="279">
        <f t="shared" si="11"/>
        <v>59857.010706067987</v>
      </c>
      <c r="H45" s="279">
        <f t="shared" si="11"/>
        <v>0</v>
      </c>
      <c r="I45" s="279">
        <f t="shared" si="11"/>
        <v>0</v>
      </c>
      <c r="J45" s="279">
        <f t="shared" si="11"/>
        <v>1137532.2103375001</v>
      </c>
      <c r="K45" s="279">
        <f t="shared" si="11"/>
        <v>1000</v>
      </c>
      <c r="L45" s="279">
        <f>SUM(D45:K45)</f>
        <v>1949289.2998649871</v>
      </c>
      <c r="M45" s="109">
        <f>'ES CT Gas Table A'!M49</f>
        <v>1978106.0895274871</v>
      </c>
      <c r="N45" s="109">
        <f>M45-L45</f>
        <v>28816.789662499912</v>
      </c>
    </row>
    <row r="46" spans="1:18" ht="20.25" customHeight="1" thickBot="1" x14ac:dyDescent="0.3">
      <c r="A46" s="23"/>
      <c r="B46" s="23"/>
      <c r="C46" s="453" t="s">
        <v>36</v>
      </c>
      <c r="D46" s="268">
        <f t="shared" ref="D46:L46" si="12">SUM(D43:D45)</f>
        <v>2332058.6490627709</v>
      </c>
      <c r="E46" s="268">
        <f t="shared" si="12"/>
        <v>3184</v>
      </c>
      <c r="F46" s="268">
        <f t="shared" si="12"/>
        <v>2289314.8678218434</v>
      </c>
      <c r="G46" s="267">
        <f t="shared" si="12"/>
        <v>164897.01070606799</v>
      </c>
      <c r="H46" s="268">
        <f t="shared" si="12"/>
        <v>17030842.38231536</v>
      </c>
      <c r="I46" s="268">
        <f t="shared" si="12"/>
        <v>753259.49865662155</v>
      </c>
      <c r="J46" s="268">
        <f t="shared" si="12"/>
        <v>1340060.574210254</v>
      </c>
      <c r="K46" s="268">
        <f t="shared" si="12"/>
        <v>25500</v>
      </c>
      <c r="L46" s="268">
        <f t="shared" si="12"/>
        <v>23939116.98277292</v>
      </c>
      <c r="M46" s="109">
        <f>'ES CT Gas Table A'!N50</f>
        <v>23939116.98277292</v>
      </c>
      <c r="N46" s="109">
        <f>M46-L46</f>
        <v>0</v>
      </c>
    </row>
    <row r="47" spans="1:18" s="106" customFormat="1" ht="18.75" x14ac:dyDescent="0.3">
      <c r="A47" s="107"/>
      <c r="B47" s="107"/>
      <c r="C47" s="281"/>
      <c r="D47" s="282"/>
      <c r="E47" s="283"/>
      <c r="F47" s="284">
        <f>F46-F35-F36</f>
        <v>1959707.8678218434</v>
      </c>
      <c r="G47" s="283"/>
      <c r="H47" s="285"/>
      <c r="I47" s="285"/>
      <c r="J47" s="285"/>
      <c r="K47" s="285"/>
      <c r="L47" s="286"/>
      <c r="M47" s="17"/>
      <c r="N47" s="17"/>
      <c r="O47" s="17"/>
      <c r="P47" s="17"/>
      <c r="Q47" s="17"/>
      <c r="R47" s="17"/>
    </row>
    <row r="48" spans="1:18" s="108" customFormat="1" ht="18.75" x14ac:dyDescent="0.3">
      <c r="C48" s="287" t="s">
        <v>5</v>
      </c>
      <c r="D48" s="288"/>
      <c r="E48" s="289"/>
      <c r="F48" s="289"/>
      <c r="G48" s="289"/>
      <c r="H48" s="289"/>
      <c r="I48" s="288"/>
      <c r="J48" s="452" t="s">
        <v>5</v>
      </c>
      <c r="K48" s="288"/>
      <c r="L48" s="288"/>
      <c r="M48" s="109">
        <f>M41+M30+M25+M19+M13</f>
        <v>23939116.982772917</v>
      </c>
    </row>
    <row r="49" spans="1:12" x14ac:dyDescent="0.25">
      <c r="A49" s="29"/>
      <c r="B49" s="29"/>
      <c r="C49" s="31"/>
    </row>
    <row r="50" spans="1:12" x14ac:dyDescent="0.25">
      <c r="A50" s="29"/>
      <c r="B50" s="29"/>
      <c r="C50" s="32"/>
      <c r="E50" s="28"/>
      <c r="G50" s="28"/>
    </row>
    <row r="51" spans="1:12" x14ac:dyDescent="0.25">
      <c r="C51" s="32"/>
    </row>
    <row r="52" spans="1:12" x14ac:dyDescent="0.25">
      <c r="C52" s="32"/>
    </row>
    <row r="53" spans="1:12" x14ac:dyDescent="0.25">
      <c r="C53" s="32"/>
    </row>
    <row r="54" spans="1:12" x14ac:dyDescent="0.25">
      <c r="C54" s="32"/>
    </row>
    <row r="55" spans="1:12" s="28" customFormat="1" x14ac:dyDescent="0.25">
      <c r="A55" s="17"/>
      <c r="B55" s="17"/>
      <c r="C55" s="32"/>
      <c r="E55" s="30"/>
      <c r="G55" s="30"/>
      <c r="H55" s="17"/>
      <c r="I55" s="17"/>
      <c r="J55" s="17"/>
      <c r="K55" s="17"/>
      <c r="L55" s="17"/>
    </row>
    <row r="56" spans="1:12" s="28" customFormat="1" x14ac:dyDescent="0.25">
      <c r="A56" s="17"/>
      <c r="B56" s="17"/>
      <c r="C56" s="32"/>
      <c r="E56" s="30"/>
      <c r="G56" s="30"/>
      <c r="H56" s="17"/>
      <c r="I56" s="17"/>
      <c r="J56" s="17"/>
      <c r="K56" s="17"/>
      <c r="L56" s="17"/>
    </row>
    <row r="57" spans="1:12" s="28" customFormat="1" x14ac:dyDescent="0.25">
      <c r="A57" s="17"/>
      <c r="B57" s="17"/>
      <c r="C57" s="32"/>
      <c r="E57" s="30"/>
      <c r="G57" s="30"/>
      <c r="H57" s="17"/>
      <c r="I57" s="17"/>
      <c r="J57" s="17"/>
      <c r="K57" s="17"/>
      <c r="L57" s="17"/>
    </row>
    <row r="58" spans="1:12" s="28" customFormat="1" x14ac:dyDescent="0.25">
      <c r="A58" s="17"/>
      <c r="B58" s="17"/>
      <c r="C58" s="32"/>
      <c r="E58" s="30"/>
      <c r="G58" s="30"/>
      <c r="H58" s="17"/>
      <c r="I58" s="17"/>
      <c r="J58" s="17"/>
      <c r="K58" s="17"/>
      <c r="L58" s="17"/>
    </row>
  </sheetData>
  <mergeCells count="9">
    <mergeCell ref="C26:L26"/>
    <mergeCell ref="C31:L31"/>
    <mergeCell ref="C42:L42"/>
    <mergeCell ref="C2:L2"/>
    <mergeCell ref="C3:L3"/>
    <mergeCell ref="C4:L4"/>
    <mergeCell ref="C7:L7"/>
    <mergeCell ref="C14:L14"/>
    <mergeCell ref="C20:L20"/>
  </mergeCells>
  <pageMargins left="0.7" right="0.7" top="0.75" bottom="0.75" header="0.3" footer="0.3"/>
  <pageSetup scale="53" orientation="landscape"/>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40956F-C6EB-4D7E-9E98-2CFDD07B80F7}">
  <sheetPr>
    <tabColor rgb="FFFFC000"/>
  </sheetPr>
  <dimension ref="B2:G45"/>
  <sheetViews>
    <sheetView showGridLines="0" zoomScale="85" zoomScaleNormal="85" workbookViewId="0">
      <selection activeCell="I35" sqref="I35"/>
    </sheetView>
  </sheetViews>
  <sheetFormatPr defaultRowHeight="12.75" x14ac:dyDescent="0.2"/>
  <cols>
    <col min="2" max="2" width="30.85546875" customWidth="1"/>
    <col min="3" max="3" width="16.5703125" bestFit="1" customWidth="1"/>
    <col min="4" max="4" width="3.140625" customWidth="1"/>
    <col min="5" max="5" width="11.5703125" customWidth="1"/>
    <col min="6" max="6" width="22.7109375" customWidth="1"/>
    <col min="7" max="7" width="19.140625" customWidth="1"/>
    <col min="258" max="258" width="22.7109375" customWidth="1"/>
    <col min="259" max="259" width="14.85546875" customWidth="1"/>
    <col min="260" max="260" width="10.7109375" customWidth="1"/>
    <col min="261" max="261" width="14.42578125" customWidth="1"/>
    <col min="262" max="262" width="22.7109375" customWidth="1"/>
    <col min="263" max="263" width="19.140625" customWidth="1"/>
    <col min="514" max="514" width="22.7109375" customWidth="1"/>
    <col min="515" max="515" width="14.85546875" customWidth="1"/>
    <col min="516" max="516" width="10.7109375" customWidth="1"/>
    <col min="517" max="517" width="14.42578125" customWidth="1"/>
    <col min="518" max="518" width="22.7109375" customWidth="1"/>
    <col min="519" max="519" width="19.140625" customWidth="1"/>
    <col min="770" max="770" width="22.7109375" customWidth="1"/>
    <col min="771" max="771" width="14.85546875" customWidth="1"/>
    <col min="772" max="772" width="10.7109375" customWidth="1"/>
    <col min="773" max="773" width="14.42578125" customWidth="1"/>
    <col min="774" max="774" width="22.7109375" customWidth="1"/>
    <col min="775" max="775" width="19.140625" customWidth="1"/>
    <col min="1026" max="1026" width="22.7109375" customWidth="1"/>
    <col min="1027" max="1027" width="14.85546875" customWidth="1"/>
    <col min="1028" max="1028" width="10.7109375" customWidth="1"/>
    <col min="1029" max="1029" width="14.42578125" customWidth="1"/>
    <col min="1030" max="1030" width="22.7109375" customWidth="1"/>
    <col min="1031" max="1031" width="19.140625" customWidth="1"/>
    <col min="1282" max="1282" width="22.7109375" customWidth="1"/>
    <col min="1283" max="1283" width="14.85546875" customWidth="1"/>
    <col min="1284" max="1284" width="10.7109375" customWidth="1"/>
    <col min="1285" max="1285" width="14.42578125" customWidth="1"/>
    <col min="1286" max="1286" width="22.7109375" customWidth="1"/>
    <col min="1287" max="1287" width="19.140625" customWidth="1"/>
    <col min="1538" max="1538" width="22.7109375" customWidth="1"/>
    <col min="1539" max="1539" width="14.85546875" customWidth="1"/>
    <col min="1540" max="1540" width="10.7109375" customWidth="1"/>
    <col min="1541" max="1541" width="14.42578125" customWidth="1"/>
    <col min="1542" max="1542" width="22.7109375" customWidth="1"/>
    <col min="1543" max="1543" width="19.140625" customWidth="1"/>
    <col min="1794" max="1794" width="22.7109375" customWidth="1"/>
    <col min="1795" max="1795" width="14.85546875" customWidth="1"/>
    <col min="1796" max="1796" width="10.7109375" customWidth="1"/>
    <col min="1797" max="1797" width="14.42578125" customWidth="1"/>
    <col min="1798" max="1798" width="22.7109375" customWidth="1"/>
    <col min="1799" max="1799" width="19.140625" customWidth="1"/>
    <col min="2050" max="2050" width="22.7109375" customWidth="1"/>
    <col min="2051" max="2051" width="14.85546875" customWidth="1"/>
    <col min="2052" max="2052" width="10.7109375" customWidth="1"/>
    <col min="2053" max="2053" width="14.42578125" customWidth="1"/>
    <col min="2054" max="2054" width="22.7109375" customWidth="1"/>
    <col min="2055" max="2055" width="19.140625" customWidth="1"/>
    <col min="2306" max="2306" width="22.7109375" customWidth="1"/>
    <col min="2307" max="2307" width="14.85546875" customWidth="1"/>
    <col min="2308" max="2308" width="10.7109375" customWidth="1"/>
    <col min="2309" max="2309" width="14.42578125" customWidth="1"/>
    <col min="2310" max="2310" width="22.7109375" customWidth="1"/>
    <col min="2311" max="2311" width="19.140625" customWidth="1"/>
    <col min="2562" max="2562" width="22.7109375" customWidth="1"/>
    <col min="2563" max="2563" width="14.85546875" customWidth="1"/>
    <col min="2564" max="2564" width="10.7109375" customWidth="1"/>
    <col min="2565" max="2565" width="14.42578125" customWidth="1"/>
    <col min="2566" max="2566" width="22.7109375" customWidth="1"/>
    <col min="2567" max="2567" width="19.140625" customWidth="1"/>
    <col min="2818" max="2818" width="22.7109375" customWidth="1"/>
    <col min="2819" max="2819" width="14.85546875" customWidth="1"/>
    <col min="2820" max="2820" width="10.7109375" customWidth="1"/>
    <col min="2821" max="2821" width="14.42578125" customWidth="1"/>
    <col min="2822" max="2822" width="22.7109375" customWidth="1"/>
    <col min="2823" max="2823" width="19.140625" customWidth="1"/>
    <col min="3074" max="3074" width="22.7109375" customWidth="1"/>
    <col min="3075" max="3075" width="14.85546875" customWidth="1"/>
    <col min="3076" max="3076" width="10.7109375" customWidth="1"/>
    <col min="3077" max="3077" width="14.42578125" customWidth="1"/>
    <col min="3078" max="3078" width="22.7109375" customWidth="1"/>
    <col min="3079" max="3079" width="19.140625" customWidth="1"/>
    <col min="3330" max="3330" width="22.7109375" customWidth="1"/>
    <col min="3331" max="3331" width="14.85546875" customWidth="1"/>
    <col min="3332" max="3332" width="10.7109375" customWidth="1"/>
    <col min="3333" max="3333" width="14.42578125" customWidth="1"/>
    <col min="3334" max="3334" width="22.7109375" customWidth="1"/>
    <col min="3335" max="3335" width="19.140625" customWidth="1"/>
    <col min="3586" max="3586" width="22.7109375" customWidth="1"/>
    <col min="3587" max="3587" width="14.85546875" customWidth="1"/>
    <col min="3588" max="3588" width="10.7109375" customWidth="1"/>
    <col min="3589" max="3589" width="14.42578125" customWidth="1"/>
    <col min="3590" max="3590" width="22.7109375" customWidth="1"/>
    <col min="3591" max="3591" width="19.140625" customWidth="1"/>
    <col min="3842" max="3842" width="22.7109375" customWidth="1"/>
    <col min="3843" max="3843" width="14.85546875" customWidth="1"/>
    <col min="3844" max="3844" width="10.7109375" customWidth="1"/>
    <col min="3845" max="3845" width="14.42578125" customWidth="1"/>
    <col min="3846" max="3846" width="22.7109375" customWidth="1"/>
    <col min="3847" max="3847" width="19.140625" customWidth="1"/>
    <col min="4098" max="4098" width="22.7109375" customWidth="1"/>
    <col min="4099" max="4099" width="14.85546875" customWidth="1"/>
    <col min="4100" max="4100" width="10.7109375" customWidth="1"/>
    <col min="4101" max="4101" width="14.42578125" customWidth="1"/>
    <col min="4102" max="4102" width="22.7109375" customWidth="1"/>
    <col min="4103" max="4103" width="19.140625" customWidth="1"/>
    <col min="4354" max="4354" width="22.7109375" customWidth="1"/>
    <col min="4355" max="4355" width="14.85546875" customWidth="1"/>
    <col min="4356" max="4356" width="10.7109375" customWidth="1"/>
    <col min="4357" max="4357" width="14.42578125" customWidth="1"/>
    <col min="4358" max="4358" width="22.7109375" customWidth="1"/>
    <col min="4359" max="4359" width="19.140625" customWidth="1"/>
    <col min="4610" max="4610" width="22.7109375" customWidth="1"/>
    <col min="4611" max="4611" width="14.85546875" customWidth="1"/>
    <col min="4612" max="4612" width="10.7109375" customWidth="1"/>
    <col min="4613" max="4613" width="14.42578125" customWidth="1"/>
    <col min="4614" max="4614" width="22.7109375" customWidth="1"/>
    <col min="4615" max="4615" width="19.140625" customWidth="1"/>
    <col min="4866" max="4866" width="22.7109375" customWidth="1"/>
    <col min="4867" max="4867" width="14.85546875" customWidth="1"/>
    <col min="4868" max="4868" width="10.7109375" customWidth="1"/>
    <col min="4869" max="4869" width="14.42578125" customWidth="1"/>
    <col min="4870" max="4870" width="22.7109375" customWidth="1"/>
    <col min="4871" max="4871" width="19.140625" customWidth="1"/>
    <col min="5122" max="5122" width="22.7109375" customWidth="1"/>
    <col min="5123" max="5123" width="14.85546875" customWidth="1"/>
    <col min="5124" max="5124" width="10.7109375" customWidth="1"/>
    <col min="5125" max="5125" width="14.42578125" customWidth="1"/>
    <col min="5126" max="5126" width="22.7109375" customWidth="1"/>
    <col min="5127" max="5127" width="19.140625" customWidth="1"/>
    <col min="5378" max="5378" width="22.7109375" customWidth="1"/>
    <col min="5379" max="5379" width="14.85546875" customWidth="1"/>
    <col min="5380" max="5380" width="10.7109375" customWidth="1"/>
    <col min="5381" max="5381" width="14.42578125" customWidth="1"/>
    <col min="5382" max="5382" width="22.7109375" customWidth="1"/>
    <col min="5383" max="5383" width="19.140625" customWidth="1"/>
    <col min="5634" max="5634" width="22.7109375" customWidth="1"/>
    <col min="5635" max="5635" width="14.85546875" customWidth="1"/>
    <col min="5636" max="5636" width="10.7109375" customWidth="1"/>
    <col min="5637" max="5637" width="14.42578125" customWidth="1"/>
    <col min="5638" max="5638" width="22.7109375" customWidth="1"/>
    <col min="5639" max="5639" width="19.140625" customWidth="1"/>
    <col min="5890" max="5890" width="22.7109375" customWidth="1"/>
    <col min="5891" max="5891" width="14.85546875" customWidth="1"/>
    <col min="5892" max="5892" width="10.7109375" customWidth="1"/>
    <col min="5893" max="5893" width="14.42578125" customWidth="1"/>
    <col min="5894" max="5894" width="22.7109375" customWidth="1"/>
    <col min="5895" max="5895" width="19.140625" customWidth="1"/>
    <col min="6146" max="6146" width="22.7109375" customWidth="1"/>
    <col min="6147" max="6147" width="14.85546875" customWidth="1"/>
    <col min="6148" max="6148" width="10.7109375" customWidth="1"/>
    <col min="6149" max="6149" width="14.42578125" customWidth="1"/>
    <col min="6150" max="6150" width="22.7109375" customWidth="1"/>
    <col min="6151" max="6151" width="19.140625" customWidth="1"/>
    <col min="6402" max="6402" width="22.7109375" customWidth="1"/>
    <col min="6403" max="6403" width="14.85546875" customWidth="1"/>
    <col min="6404" max="6404" width="10.7109375" customWidth="1"/>
    <col min="6405" max="6405" width="14.42578125" customWidth="1"/>
    <col min="6406" max="6406" width="22.7109375" customWidth="1"/>
    <col min="6407" max="6407" width="19.140625" customWidth="1"/>
    <col min="6658" max="6658" width="22.7109375" customWidth="1"/>
    <col min="6659" max="6659" width="14.85546875" customWidth="1"/>
    <col min="6660" max="6660" width="10.7109375" customWidth="1"/>
    <col min="6661" max="6661" width="14.42578125" customWidth="1"/>
    <col min="6662" max="6662" width="22.7109375" customWidth="1"/>
    <col min="6663" max="6663" width="19.140625" customWidth="1"/>
    <col min="6914" max="6914" width="22.7109375" customWidth="1"/>
    <col min="6915" max="6915" width="14.85546875" customWidth="1"/>
    <col min="6916" max="6916" width="10.7109375" customWidth="1"/>
    <col min="6917" max="6917" width="14.42578125" customWidth="1"/>
    <col min="6918" max="6918" width="22.7109375" customWidth="1"/>
    <col min="6919" max="6919" width="19.140625" customWidth="1"/>
    <col min="7170" max="7170" width="22.7109375" customWidth="1"/>
    <col min="7171" max="7171" width="14.85546875" customWidth="1"/>
    <col min="7172" max="7172" width="10.7109375" customWidth="1"/>
    <col min="7173" max="7173" width="14.42578125" customWidth="1"/>
    <col min="7174" max="7174" width="22.7109375" customWidth="1"/>
    <col min="7175" max="7175" width="19.140625" customWidth="1"/>
    <col min="7426" max="7426" width="22.7109375" customWidth="1"/>
    <col min="7427" max="7427" width="14.85546875" customWidth="1"/>
    <col min="7428" max="7428" width="10.7109375" customWidth="1"/>
    <col min="7429" max="7429" width="14.42578125" customWidth="1"/>
    <col min="7430" max="7430" width="22.7109375" customWidth="1"/>
    <col min="7431" max="7431" width="19.140625" customWidth="1"/>
    <col min="7682" max="7682" width="22.7109375" customWidth="1"/>
    <col min="7683" max="7683" width="14.85546875" customWidth="1"/>
    <col min="7684" max="7684" width="10.7109375" customWidth="1"/>
    <col min="7685" max="7685" width="14.42578125" customWidth="1"/>
    <col min="7686" max="7686" width="22.7109375" customWidth="1"/>
    <col min="7687" max="7687" width="19.140625" customWidth="1"/>
    <col min="7938" max="7938" width="22.7109375" customWidth="1"/>
    <col min="7939" max="7939" width="14.85546875" customWidth="1"/>
    <col min="7940" max="7940" width="10.7109375" customWidth="1"/>
    <col min="7941" max="7941" width="14.42578125" customWidth="1"/>
    <col min="7942" max="7942" width="22.7109375" customWidth="1"/>
    <col min="7943" max="7943" width="19.140625" customWidth="1"/>
    <col min="8194" max="8194" width="22.7109375" customWidth="1"/>
    <col min="8195" max="8195" width="14.85546875" customWidth="1"/>
    <col min="8196" max="8196" width="10.7109375" customWidth="1"/>
    <col min="8197" max="8197" width="14.42578125" customWidth="1"/>
    <col min="8198" max="8198" width="22.7109375" customWidth="1"/>
    <col min="8199" max="8199" width="19.140625" customWidth="1"/>
    <col min="8450" max="8450" width="22.7109375" customWidth="1"/>
    <col min="8451" max="8451" width="14.85546875" customWidth="1"/>
    <col min="8452" max="8452" width="10.7109375" customWidth="1"/>
    <col min="8453" max="8453" width="14.42578125" customWidth="1"/>
    <col min="8454" max="8454" width="22.7109375" customWidth="1"/>
    <col min="8455" max="8455" width="19.140625" customWidth="1"/>
    <col min="8706" max="8706" width="22.7109375" customWidth="1"/>
    <col min="8707" max="8707" width="14.85546875" customWidth="1"/>
    <col min="8708" max="8708" width="10.7109375" customWidth="1"/>
    <col min="8709" max="8709" width="14.42578125" customWidth="1"/>
    <col min="8710" max="8710" width="22.7109375" customWidth="1"/>
    <col min="8711" max="8711" width="19.140625" customWidth="1"/>
    <col min="8962" max="8962" width="22.7109375" customWidth="1"/>
    <col min="8963" max="8963" width="14.85546875" customWidth="1"/>
    <col min="8964" max="8964" width="10.7109375" customWidth="1"/>
    <col min="8965" max="8965" width="14.42578125" customWidth="1"/>
    <col min="8966" max="8966" width="22.7109375" customWidth="1"/>
    <col min="8967" max="8967" width="19.140625" customWidth="1"/>
    <col min="9218" max="9218" width="22.7109375" customWidth="1"/>
    <col min="9219" max="9219" width="14.85546875" customWidth="1"/>
    <col min="9220" max="9220" width="10.7109375" customWidth="1"/>
    <col min="9221" max="9221" width="14.42578125" customWidth="1"/>
    <col min="9222" max="9222" width="22.7109375" customWidth="1"/>
    <col min="9223" max="9223" width="19.140625" customWidth="1"/>
    <col min="9474" max="9474" width="22.7109375" customWidth="1"/>
    <col min="9475" max="9475" width="14.85546875" customWidth="1"/>
    <col min="9476" max="9476" width="10.7109375" customWidth="1"/>
    <col min="9477" max="9477" width="14.42578125" customWidth="1"/>
    <col min="9478" max="9478" width="22.7109375" customWidth="1"/>
    <col min="9479" max="9479" width="19.140625" customWidth="1"/>
    <col min="9730" max="9730" width="22.7109375" customWidth="1"/>
    <col min="9731" max="9731" width="14.85546875" customWidth="1"/>
    <col min="9732" max="9732" width="10.7109375" customWidth="1"/>
    <col min="9733" max="9733" width="14.42578125" customWidth="1"/>
    <col min="9734" max="9734" width="22.7109375" customWidth="1"/>
    <col min="9735" max="9735" width="19.140625" customWidth="1"/>
    <col min="9986" max="9986" width="22.7109375" customWidth="1"/>
    <col min="9987" max="9987" width="14.85546875" customWidth="1"/>
    <col min="9988" max="9988" width="10.7109375" customWidth="1"/>
    <col min="9989" max="9989" width="14.42578125" customWidth="1"/>
    <col min="9990" max="9990" width="22.7109375" customWidth="1"/>
    <col min="9991" max="9991" width="19.140625" customWidth="1"/>
    <col min="10242" max="10242" width="22.7109375" customWidth="1"/>
    <col min="10243" max="10243" width="14.85546875" customWidth="1"/>
    <col min="10244" max="10244" width="10.7109375" customWidth="1"/>
    <col min="10245" max="10245" width="14.42578125" customWidth="1"/>
    <col min="10246" max="10246" width="22.7109375" customWidth="1"/>
    <col min="10247" max="10247" width="19.140625" customWidth="1"/>
    <col min="10498" max="10498" width="22.7109375" customWidth="1"/>
    <col min="10499" max="10499" width="14.85546875" customWidth="1"/>
    <col min="10500" max="10500" width="10.7109375" customWidth="1"/>
    <col min="10501" max="10501" width="14.42578125" customWidth="1"/>
    <col min="10502" max="10502" width="22.7109375" customWidth="1"/>
    <col min="10503" max="10503" width="19.140625" customWidth="1"/>
    <col min="10754" max="10754" width="22.7109375" customWidth="1"/>
    <col min="10755" max="10755" width="14.85546875" customWidth="1"/>
    <col min="10756" max="10756" width="10.7109375" customWidth="1"/>
    <col min="10757" max="10757" width="14.42578125" customWidth="1"/>
    <col min="10758" max="10758" width="22.7109375" customWidth="1"/>
    <col min="10759" max="10759" width="19.140625" customWidth="1"/>
    <col min="11010" max="11010" width="22.7109375" customWidth="1"/>
    <col min="11011" max="11011" width="14.85546875" customWidth="1"/>
    <col min="11012" max="11012" width="10.7109375" customWidth="1"/>
    <col min="11013" max="11013" width="14.42578125" customWidth="1"/>
    <col min="11014" max="11014" width="22.7109375" customWidth="1"/>
    <col min="11015" max="11015" width="19.140625" customWidth="1"/>
    <col min="11266" max="11266" width="22.7109375" customWidth="1"/>
    <col min="11267" max="11267" width="14.85546875" customWidth="1"/>
    <col min="11268" max="11268" width="10.7109375" customWidth="1"/>
    <col min="11269" max="11269" width="14.42578125" customWidth="1"/>
    <col min="11270" max="11270" width="22.7109375" customWidth="1"/>
    <col min="11271" max="11271" width="19.140625" customWidth="1"/>
    <col min="11522" max="11522" width="22.7109375" customWidth="1"/>
    <col min="11523" max="11523" width="14.85546875" customWidth="1"/>
    <col min="11524" max="11524" width="10.7109375" customWidth="1"/>
    <col min="11525" max="11525" width="14.42578125" customWidth="1"/>
    <col min="11526" max="11526" width="22.7109375" customWidth="1"/>
    <col min="11527" max="11527" width="19.140625" customWidth="1"/>
    <col min="11778" max="11778" width="22.7109375" customWidth="1"/>
    <col min="11779" max="11779" width="14.85546875" customWidth="1"/>
    <col min="11780" max="11780" width="10.7109375" customWidth="1"/>
    <col min="11781" max="11781" width="14.42578125" customWidth="1"/>
    <col min="11782" max="11782" width="22.7109375" customWidth="1"/>
    <col min="11783" max="11783" width="19.140625" customWidth="1"/>
    <col min="12034" max="12034" width="22.7109375" customWidth="1"/>
    <col min="12035" max="12035" width="14.85546875" customWidth="1"/>
    <col min="12036" max="12036" width="10.7109375" customWidth="1"/>
    <col min="12037" max="12037" width="14.42578125" customWidth="1"/>
    <col min="12038" max="12038" width="22.7109375" customWidth="1"/>
    <col min="12039" max="12039" width="19.140625" customWidth="1"/>
    <col min="12290" max="12290" width="22.7109375" customWidth="1"/>
    <col min="12291" max="12291" width="14.85546875" customWidth="1"/>
    <col min="12292" max="12292" width="10.7109375" customWidth="1"/>
    <col min="12293" max="12293" width="14.42578125" customWidth="1"/>
    <col min="12294" max="12294" width="22.7109375" customWidth="1"/>
    <col min="12295" max="12295" width="19.140625" customWidth="1"/>
    <col min="12546" max="12546" width="22.7109375" customWidth="1"/>
    <col min="12547" max="12547" width="14.85546875" customWidth="1"/>
    <col min="12548" max="12548" width="10.7109375" customWidth="1"/>
    <col min="12549" max="12549" width="14.42578125" customWidth="1"/>
    <col min="12550" max="12550" width="22.7109375" customWidth="1"/>
    <col min="12551" max="12551" width="19.140625" customWidth="1"/>
    <col min="12802" max="12802" width="22.7109375" customWidth="1"/>
    <col min="12803" max="12803" width="14.85546875" customWidth="1"/>
    <col min="12804" max="12804" width="10.7109375" customWidth="1"/>
    <col min="12805" max="12805" width="14.42578125" customWidth="1"/>
    <col min="12806" max="12806" width="22.7109375" customWidth="1"/>
    <col min="12807" max="12807" width="19.140625" customWidth="1"/>
    <col min="13058" max="13058" width="22.7109375" customWidth="1"/>
    <col min="13059" max="13059" width="14.85546875" customWidth="1"/>
    <col min="13060" max="13060" width="10.7109375" customWidth="1"/>
    <col min="13061" max="13061" width="14.42578125" customWidth="1"/>
    <col min="13062" max="13062" width="22.7109375" customWidth="1"/>
    <col min="13063" max="13063" width="19.140625" customWidth="1"/>
    <col min="13314" max="13314" width="22.7109375" customWidth="1"/>
    <col min="13315" max="13315" width="14.85546875" customWidth="1"/>
    <col min="13316" max="13316" width="10.7109375" customWidth="1"/>
    <col min="13317" max="13317" width="14.42578125" customWidth="1"/>
    <col min="13318" max="13318" width="22.7109375" customWidth="1"/>
    <col min="13319" max="13319" width="19.140625" customWidth="1"/>
    <col min="13570" max="13570" width="22.7109375" customWidth="1"/>
    <col min="13571" max="13571" width="14.85546875" customWidth="1"/>
    <col min="13572" max="13572" width="10.7109375" customWidth="1"/>
    <col min="13573" max="13573" width="14.42578125" customWidth="1"/>
    <col min="13574" max="13574" width="22.7109375" customWidth="1"/>
    <col min="13575" max="13575" width="19.140625" customWidth="1"/>
    <col min="13826" max="13826" width="22.7109375" customWidth="1"/>
    <col min="13827" max="13827" width="14.85546875" customWidth="1"/>
    <col min="13828" max="13828" width="10.7109375" customWidth="1"/>
    <col min="13829" max="13829" width="14.42578125" customWidth="1"/>
    <col min="13830" max="13830" width="22.7109375" customWidth="1"/>
    <col min="13831" max="13831" width="19.140625" customWidth="1"/>
    <col min="14082" max="14082" width="22.7109375" customWidth="1"/>
    <col min="14083" max="14083" width="14.85546875" customWidth="1"/>
    <col min="14084" max="14084" width="10.7109375" customWidth="1"/>
    <col min="14085" max="14085" width="14.42578125" customWidth="1"/>
    <col min="14086" max="14086" width="22.7109375" customWidth="1"/>
    <col min="14087" max="14087" width="19.140625" customWidth="1"/>
    <col min="14338" max="14338" width="22.7109375" customWidth="1"/>
    <col min="14339" max="14339" width="14.85546875" customWidth="1"/>
    <col min="14340" max="14340" width="10.7109375" customWidth="1"/>
    <col min="14341" max="14341" width="14.42578125" customWidth="1"/>
    <col min="14342" max="14342" width="22.7109375" customWidth="1"/>
    <col min="14343" max="14343" width="19.140625" customWidth="1"/>
    <col min="14594" max="14594" width="22.7109375" customWidth="1"/>
    <col min="14595" max="14595" width="14.85546875" customWidth="1"/>
    <col min="14596" max="14596" width="10.7109375" customWidth="1"/>
    <col min="14597" max="14597" width="14.42578125" customWidth="1"/>
    <col min="14598" max="14598" width="22.7109375" customWidth="1"/>
    <col min="14599" max="14599" width="19.140625" customWidth="1"/>
    <col min="14850" max="14850" width="22.7109375" customWidth="1"/>
    <col min="14851" max="14851" width="14.85546875" customWidth="1"/>
    <col min="14852" max="14852" width="10.7109375" customWidth="1"/>
    <col min="14853" max="14853" width="14.42578125" customWidth="1"/>
    <col min="14854" max="14854" width="22.7109375" customWidth="1"/>
    <col min="14855" max="14855" width="19.140625" customWidth="1"/>
    <col min="15106" max="15106" width="22.7109375" customWidth="1"/>
    <col min="15107" max="15107" width="14.85546875" customWidth="1"/>
    <col min="15108" max="15108" width="10.7109375" customWidth="1"/>
    <col min="15109" max="15109" width="14.42578125" customWidth="1"/>
    <col min="15110" max="15110" width="22.7109375" customWidth="1"/>
    <col min="15111" max="15111" width="19.140625" customWidth="1"/>
    <col min="15362" max="15362" width="22.7109375" customWidth="1"/>
    <col min="15363" max="15363" width="14.85546875" customWidth="1"/>
    <col min="15364" max="15364" width="10.7109375" customWidth="1"/>
    <col min="15365" max="15365" width="14.42578125" customWidth="1"/>
    <col min="15366" max="15366" width="22.7109375" customWidth="1"/>
    <col min="15367" max="15367" width="19.140625" customWidth="1"/>
    <col min="15618" max="15618" width="22.7109375" customWidth="1"/>
    <col min="15619" max="15619" width="14.85546875" customWidth="1"/>
    <col min="15620" max="15620" width="10.7109375" customWidth="1"/>
    <col min="15621" max="15621" width="14.42578125" customWidth="1"/>
    <col min="15622" max="15622" width="22.7109375" customWidth="1"/>
    <col min="15623" max="15623" width="19.140625" customWidth="1"/>
    <col min="15874" max="15874" width="22.7109375" customWidth="1"/>
    <col min="15875" max="15875" width="14.85546875" customWidth="1"/>
    <col min="15876" max="15876" width="10.7109375" customWidth="1"/>
    <col min="15877" max="15877" width="14.42578125" customWidth="1"/>
    <col min="15878" max="15878" width="22.7109375" customWidth="1"/>
    <col min="15879" max="15879" width="19.140625" customWidth="1"/>
    <col min="16130" max="16130" width="22.7109375" customWidth="1"/>
    <col min="16131" max="16131" width="14.85546875" customWidth="1"/>
    <col min="16132" max="16132" width="10.7109375" customWidth="1"/>
    <col min="16133" max="16133" width="14.42578125" customWidth="1"/>
    <col min="16134" max="16134" width="22.7109375" customWidth="1"/>
    <col min="16135" max="16135" width="19.140625" customWidth="1"/>
  </cols>
  <sheetData>
    <row r="2" spans="2:7" ht="20.25" x14ac:dyDescent="0.3">
      <c r="B2" s="610" t="s">
        <v>193</v>
      </c>
      <c r="C2" s="610"/>
      <c r="D2" s="610"/>
      <c r="E2" s="610"/>
      <c r="F2" s="610"/>
      <c r="G2" s="33"/>
    </row>
    <row r="3" spans="2:7" ht="20.25" x14ac:dyDescent="0.3">
      <c r="B3" s="610" t="s">
        <v>299</v>
      </c>
      <c r="C3" s="610"/>
      <c r="D3" s="610"/>
      <c r="E3" s="610"/>
      <c r="F3" s="610"/>
      <c r="G3" s="33"/>
    </row>
    <row r="4" spans="2:7" ht="20.25" x14ac:dyDescent="0.3">
      <c r="B4" s="610" t="s">
        <v>37</v>
      </c>
      <c r="C4" s="610"/>
      <c r="D4" s="610"/>
      <c r="E4" s="610"/>
      <c r="F4" s="610"/>
      <c r="G4" s="33"/>
    </row>
    <row r="5" spans="2:7" ht="15.75" x14ac:dyDescent="0.25">
      <c r="C5" s="605"/>
      <c r="D5" s="605"/>
      <c r="E5" s="605"/>
    </row>
    <row r="33" spans="2:6" ht="33" customHeight="1" x14ac:dyDescent="0.25">
      <c r="B33" s="408" t="s">
        <v>38</v>
      </c>
      <c r="C33" s="402" t="s">
        <v>39</v>
      </c>
      <c r="D33" s="611" t="s">
        <v>40</v>
      </c>
      <c r="E33" s="612"/>
      <c r="F33" s="280"/>
    </row>
    <row r="34" spans="2:6" ht="16.5" x14ac:dyDescent="0.25">
      <c r="B34" s="607"/>
      <c r="C34" s="608"/>
      <c r="D34" s="608"/>
      <c r="E34" s="609"/>
      <c r="F34" s="280"/>
    </row>
    <row r="35" spans="2:6" ht="19.5" customHeight="1" x14ac:dyDescent="0.25">
      <c r="B35" s="409" t="s">
        <v>22</v>
      </c>
      <c r="C35" s="410">
        <f>'ES CT Gas 2024 Table C  '!D46+'ES CT Gas 2024 Table C  '!G46</f>
        <v>2496955.6597688389</v>
      </c>
      <c r="D35" s="414"/>
      <c r="E35" s="416">
        <f t="shared" ref="E35:E41" si="0">SUM(C35/$C$43)</f>
        <v>0.10430441780980056</v>
      </c>
      <c r="F35" s="280"/>
    </row>
    <row r="36" spans="2:6" ht="20.25" customHeight="1" x14ac:dyDescent="0.25">
      <c r="B36" s="409" t="s">
        <v>41</v>
      </c>
      <c r="C36" s="410">
        <f>'ES CT Gas 2024 Table C  '!E46</f>
        <v>3184</v>
      </c>
      <c r="D36" s="414"/>
      <c r="E36" s="416">
        <f t="shared" si="0"/>
        <v>1.3300407037950779E-4</v>
      </c>
      <c r="F36" s="280"/>
    </row>
    <row r="37" spans="2:6" ht="17.25" customHeight="1" x14ac:dyDescent="0.25">
      <c r="B37" s="409" t="s">
        <v>24</v>
      </c>
      <c r="C37" s="410">
        <f>'ES CT Gas 2024 Table C  '!F46</f>
        <v>2289314.8678218434</v>
      </c>
      <c r="D37" s="414"/>
      <c r="E37" s="416">
        <f t="shared" si="0"/>
        <v>9.5630714761504421E-2</v>
      </c>
      <c r="F37" s="280"/>
    </row>
    <row r="38" spans="2:6" ht="20.25" customHeight="1" x14ac:dyDescent="0.25">
      <c r="B38" s="409" t="s">
        <v>25</v>
      </c>
      <c r="C38" s="410">
        <f>'ES CT Gas 2024 Table C  '!H46</f>
        <v>17030842.38231536</v>
      </c>
      <c r="D38" s="414"/>
      <c r="E38" s="416">
        <f t="shared" si="0"/>
        <v>0.71142316546475393</v>
      </c>
      <c r="F38" s="280"/>
    </row>
    <row r="39" spans="2:6" ht="20.25" customHeight="1" x14ac:dyDescent="0.25">
      <c r="B39" s="409" t="s">
        <v>26</v>
      </c>
      <c r="C39" s="410">
        <f>'ES CT Gas 2024 Table C  '!I46</f>
        <v>753259.49865662155</v>
      </c>
      <c r="D39" s="414"/>
      <c r="E39" s="416">
        <f t="shared" si="0"/>
        <v>3.1465634225300895E-2</v>
      </c>
      <c r="F39" s="280"/>
    </row>
    <row r="40" spans="2:6" ht="17.25" customHeight="1" x14ac:dyDescent="0.25">
      <c r="B40" s="409" t="s">
        <v>107</v>
      </c>
      <c r="C40" s="410">
        <f>'ES CT Gas 2024 Table C  '!J46</f>
        <v>1340060.574210254</v>
      </c>
      <c r="D40" s="414"/>
      <c r="E40" s="416">
        <f t="shared" si="0"/>
        <v>5.597786147143978E-2</v>
      </c>
      <c r="F40" s="280"/>
    </row>
    <row r="41" spans="2:6" ht="19.5" customHeight="1" x14ac:dyDescent="0.4">
      <c r="B41" s="409" t="s">
        <v>27</v>
      </c>
      <c r="C41" s="411">
        <f>'ES CT Gas 2024 Table C  '!K46</f>
        <v>25500</v>
      </c>
      <c r="D41" s="414"/>
      <c r="E41" s="417">
        <f t="shared" si="0"/>
        <v>1.065202196820807E-3</v>
      </c>
      <c r="F41" s="280"/>
    </row>
    <row r="42" spans="2:6" ht="16.5" x14ac:dyDescent="0.25">
      <c r="B42" s="607"/>
      <c r="C42" s="608"/>
      <c r="D42" s="608"/>
      <c r="E42" s="609"/>
      <c r="F42" s="280"/>
    </row>
    <row r="43" spans="2:6" ht="16.5" x14ac:dyDescent="0.25">
      <c r="B43" s="412" t="s">
        <v>42</v>
      </c>
      <c r="C43" s="413">
        <f>SUM(C35:C41)</f>
        <v>23939116.98277292</v>
      </c>
      <c r="D43" s="415"/>
      <c r="E43" s="418">
        <f>SUM(E35:E41)</f>
        <v>0.99999999999999989</v>
      </c>
      <c r="F43" s="280"/>
    </row>
    <row r="44" spans="2:6" ht="16.5" x14ac:dyDescent="0.25">
      <c r="B44" s="280"/>
      <c r="C44" s="280"/>
      <c r="D44" s="280"/>
      <c r="E44" s="280"/>
      <c r="F44" s="280"/>
    </row>
    <row r="45" spans="2:6" x14ac:dyDescent="0.2">
      <c r="B45" s="35"/>
    </row>
  </sheetData>
  <mergeCells count="7">
    <mergeCell ref="B42:E42"/>
    <mergeCell ref="B2:F2"/>
    <mergeCell ref="B3:F3"/>
    <mergeCell ref="B4:F4"/>
    <mergeCell ref="C5:E5"/>
    <mergeCell ref="D33:E33"/>
    <mergeCell ref="B34:E34"/>
  </mergeCells>
  <pageMargins left="0.7" right="0.7" top="0.75" bottom="0.75" header="0.3" footer="0.3"/>
  <pageSetup orientation="portrait"/>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18">
    <tabColor rgb="FFFFFF00"/>
    <pageSetUpPr fitToPage="1"/>
  </sheetPr>
  <dimension ref="A1:P59"/>
  <sheetViews>
    <sheetView showGridLines="0" zoomScale="70" zoomScaleNormal="70" workbookViewId="0">
      <pane xSplit="3" ySplit="10" topLeftCell="M35" activePane="bottomRight" state="frozen"/>
      <selection activeCell="L14" sqref="L14"/>
      <selection pane="topRight" activeCell="L14" sqref="L14"/>
      <selection pane="bottomLeft" activeCell="L14" sqref="L14"/>
      <selection pane="bottomRight" activeCell="K67" sqref="K67"/>
    </sheetView>
  </sheetViews>
  <sheetFormatPr defaultRowHeight="15" x14ac:dyDescent="0.2"/>
  <cols>
    <col min="1" max="1" width="4.5703125" style="1" hidden="1" customWidth="1"/>
    <col min="2" max="2" width="4.5703125" style="2" customWidth="1"/>
    <col min="3" max="3" width="90.42578125" style="1" customWidth="1"/>
    <col min="4" max="4" width="16.5703125" style="1" hidden="1" customWidth="1"/>
    <col min="5" max="7" width="18.85546875" style="75" bestFit="1" customWidth="1"/>
    <col min="8" max="9" width="18.85546875" style="75" customWidth="1"/>
    <col min="10" max="10" width="18.85546875" style="75" bestFit="1" customWidth="1"/>
    <col min="11" max="11" width="18.85546875" style="1" customWidth="1"/>
    <col min="12" max="12" width="18.85546875" style="1" bestFit="1" customWidth="1"/>
    <col min="13" max="14" width="18.85546875" style="395" bestFit="1" customWidth="1"/>
    <col min="15" max="15" width="18.85546875" style="1" bestFit="1" customWidth="1"/>
    <col min="16" max="16" width="18.85546875" style="395" bestFit="1" customWidth="1"/>
    <col min="17" max="254" width="9.140625" style="1"/>
    <col min="255" max="255" width="4.5703125" style="1" customWidth="1"/>
    <col min="256" max="256" width="60.7109375" style="1" customWidth="1"/>
    <col min="257" max="257" width="23.85546875" style="1" customWidth="1"/>
    <col min="258" max="259" width="21.140625" style="1" customWidth="1"/>
    <col min="260" max="260" width="20.42578125" style="1" customWidth="1"/>
    <col min="261" max="261" width="21" style="1" customWidth="1"/>
    <col min="262" max="262" width="20.85546875" style="1" customWidth="1"/>
    <col min="263" max="263" width="20.7109375" style="1" customWidth="1"/>
    <col min="264" max="264" width="18.85546875" style="1" customWidth="1"/>
    <col min="265" max="265" width="19.5703125" style="1" customWidth="1"/>
    <col min="266" max="266" width="18" style="1" customWidth="1"/>
    <col min="267" max="267" width="9.140625" style="1"/>
    <col min="268" max="268" width="23.140625" style="1" customWidth="1"/>
    <col min="269" max="269" width="9.140625" style="1"/>
    <col min="270" max="270" width="12.5703125" style="1" customWidth="1"/>
    <col min="271" max="510" width="9.140625" style="1"/>
    <col min="511" max="511" width="4.5703125" style="1" customWidth="1"/>
    <col min="512" max="512" width="60.7109375" style="1" customWidth="1"/>
    <col min="513" max="513" width="23.85546875" style="1" customWidth="1"/>
    <col min="514" max="515" width="21.140625" style="1" customWidth="1"/>
    <col min="516" max="516" width="20.42578125" style="1" customWidth="1"/>
    <col min="517" max="517" width="21" style="1" customWidth="1"/>
    <col min="518" max="518" width="20.85546875" style="1" customWidth="1"/>
    <col min="519" max="519" width="20.7109375" style="1" customWidth="1"/>
    <col min="520" max="520" width="18.85546875" style="1" customWidth="1"/>
    <col min="521" max="521" width="19.5703125" style="1" customWidth="1"/>
    <col min="522" max="522" width="18" style="1" customWidth="1"/>
    <col min="523" max="523" width="9.140625" style="1"/>
    <col min="524" max="524" width="23.140625" style="1" customWidth="1"/>
    <col min="525" max="525" width="9.140625" style="1"/>
    <col min="526" max="526" width="12.5703125" style="1" customWidth="1"/>
    <col min="527" max="766" width="9.140625" style="1"/>
    <col min="767" max="767" width="4.5703125" style="1" customWidth="1"/>
    <col min="768" max="768" width="60.7109375" style="1" customWidth="1"/>
    <col min="769" max="769" width="23.85546875" style="1" customWidth="1"/>
    <col min="770" max="771" width="21.140625" style="1" customWidth="1"/>
    <col min="772" max="772" width="20.42578125" style="1" customWidth="1"/>
    <col min="773" max="773" width="21" style="1" customWidth="1"/>
    <col min="774" max="774" width="20.85546875" style="1" customWidth="1"/>
    <col min="775" max="775" width="20.7109375" style="1" customWidth="1"/>
    <col min="776" max="776" width="18.85546875" style="1" customWidth="1"/>
    <col min="777" max="777" width="19.5703125" style="1" customWidth="1"/>
    <col min="778" max="778" width="18" style="1" customWidth="1"/>
    <col min="779" max="779" width="9.140625" style="1"/>
    <col min="780" max="780" width="23.140625" style="1" customWidth="1"/>
    <col min="781" max="781" width="9.140625" style="1"/>
    <col min="782" max="782" width="12.5703125" style="1" customWidth="1"/>
    <col min="783" max="1022" width="9.140625" style="1"/>
    <col min="1023" max="1023" width="4.5703125" style="1" customWidth="1"/>
    <col min="1024" max="1024" width="60.7109375" style="1" customWidth="1"/>
    <col min="1025" max="1025" width="23.85546875" style="1" customWidth="1"/>
    <col min="1026" max="1027" width="21.140625" style="1" customWidth="1"/>
    <col min="1028" max="1028" width="20.42578125" style="1" customWidth="1"/>
    <col min="1029" max="1029" width="21" style="1" customWidth="1"/>
    <col min="1030" max="1030" width="20.85546875" style="1" customWidth="1"/>
    <col min="1031" max="1031" width="20.7109375" style="1" customWidth="1"/>
    <col min="1032" max="1032" width="18.85546875" style="1" customWidth="1"/>
    <col min="1033" max="1033" width="19.5703125" style="1" customWidth="1"/>
    <col min="1034" max="1034" width="18" style="1" customWidth="1"/>
    <col min="1035" max="1035" width="9.140625" style="1"/>
    <col min="1036" max="1036" width="23.140625" style="1" customWidth="1"/>
    <col min="1037" max="1037" width="9.140625" style="1"/>
    <col min="1038" max="1038" width="12.5703125" style="1" customWidth="1"/>
    <col min="1039" max="1278" width="9.140625" style="1"/>
    <col min="1279" max="1279" width="4.5703125" style="1" customWidth="1"/>
    <col min="1280" max="1280" width="60.7109375" style="1" customWidth="1"/>
    <col min="1281" max="1281" width="23.85546875" style="1" customWidth="1"/>
    <col min="1282" max="1283" width="21.140625" style="1" customWidth="1"/>
    <col min="1284" max="1284" width="20.42578125" style="1" customWidth="1"/>
    <col min="1285" max="1285" width="21" style="1" customWidth="1"/>
    <col min="1286" max="1286" width="20.85546875" style="1" customWidth="1"/>
    <col min="1287" max="1287" width="20.7109375" style="1" customWidth="1"/>
    <col min="1288" max="1288" width="18.85546875" style="1" customWidth="1"/>
    <col min="1289" max="1289" width="19.5703125" style="1" customWidth="1"/>
    <col min="1290" max="1290" width="18" style="1" customWidth="1"/>
    <col min="1291" max="1291" width="9.140625" style="1"/>
    <col min="1292" max="1292" width="23.140625" style="1" customWidth="1"/>
    <col min="1293" max="1293" width="9.140625" style="1"/>
    <col min="1294" max="1294" width="12.5703125" style="1" customWidth="1"/>
    <col min="1295" max="1534" width="9.140625" style="1"/>
    <col min="1535" max="1535" width="4.5703125" style="1" customWidth="1"/>
    <col min="1536" max="1536" width="60.7109375" style="1" customWidth="1"/>
    <col min="1537" max="1537" width="23.85546875" style="1" customWidth="1"/>
    <col min="1538" max="1539" width="21.140625" style="1" customWidth="1"/>
    <col min="1540" max="1540" width="20.42578125" style="1" customWidth="1"/>
    <col min="1541" max="1541" width="21" style="1" customWidth="1"/>
    <col min="1542" max="1542" width="20.85546875" style="1" customWidth="1"/>
    <col min="1543" max="1543" width="20.7109375" style="1" customWidth="1"/>
    <col min="1544" max="1544" width="18.85546875" style="1" customWidth="1"/>
    <col min="1545" max="1545" width="19.5703125" style="1" customWidth="1"/>
    <col min="1546" max="1546" width="18" style="1" customWidth="1"/>
    <col min="1547" max="1547" width="9.140625" style="1"/>
    <col min="1548" max="1548" width="23.140625" style="1" customWidth="1"/>
    <col min="1549" max="1549" width="9.140625" style="1"/>
    <col min="1550" max="1550" width="12.5703125" style="1" customWidth="1"/>
    <col min="1551" max="1790" width="9.140625" style="1"/>
    <col min="1791" max="1791" width="4.5703125" style="1" customWidth="1"/>
    <col min="1792" max="1792" width="60.7109375" style="1" customWidth="1"/>
    <col min="1793" max="1793" width="23.85546875" style="1" customWidth="1"/>
    <col min="1794" max="1795" width="21.140625" style="1" customWidth="1"/>
    <col min="1796" max="1796" width="20.42578125" style="1" customWidth="1"/>
    <col min="1797" max="1797" width="21" style="1" customWidth="1"/>
    <col min="1798" max="1798" width="20.85546875" style="1" customWidth="1"/>
    <col min="1799" max="1799" width="20.7109375" style="1" customWidth="1"/>
    <col min="1800" max="1800" width="18.85546875" style="1" customWidth="1"/>
    <col min="1801" max="1801" width="19.5703125" style="1" customWidth="1"/>
    <col min="1802" max="1802" width="18" style="1" customWidth="1"/>
    <col min="1803" max="1803" width="9.140625" style="1"/>
    <col min="1804" max="1804" width="23.140625" style="1" customWidth="1"/>
    <col min="1805" max="1805" width="9.140625" style="1"/>
    <col min="1806" max="1806" width="12.5703125" style="1" customWidth="1"/>
    <col min="1807" max="2046" width="9.140625" style="1"/>
    <col min="2047" max="2047" width="4.5703125" style="1" customWidth="1"/>
    <col min="2048" max="2048" width="60.7109375" style="1" customWidth="1"/>
    <col min="2049" max="2049" width="23.85546875" style="1" customWidth="1"/>
    <col min="2050" max="2051" width="21.140625" style="1" customWidth="1"/>
    <col min="2052" max="2052" width="20.42578125" style="1" customWidth="1"/>
    <col min="2053" max="2053" width="21" style="1" customWidth="1"/>
    <col min="2054" max="2054" width="20.85546875" style="1" customWidth="1"/>
    <col min="2055" max="2055" width="20.7109375" style="1" customWidth="1"/>
    <col min="2056" max="2056" width="18.85546875" style="1" customWidth="1"/>
    <col min="2057" max="2057" width="19.5703125" style="1" customWidth="1"/>
    <col min="2058" max="2058" width="18" style="1" customWidth="1"/>
    <col min="2059" max="2059" width="9.140625" style="1"/>
    <col min="2060" max="2060" width="23.140625" style="1" customWidth="1"/>
    <col min="2061" max="2061" width="9.140625" style="1"/>
    <col min="2062" max="2062" width="12.5703125" style="1" customWidth="1"/>
    <col min="2063" max="2302" width="9.140625" style="1"/>
    <col min="2303" max="2303" width="4.5703125" style="1" customWidth="1"/>
    <col min="2304" max="2304" width="60.7109375" style="1" customWidth="1"/>
    <col min="2305" max="2305" width="23.85546875" style="1" customWidth="1"/>
    <col min="2306" max="2307" width="21.140625" style="1" customWidth="1"/>
    <col min="2308" max="2308" width="20.42578125" style="1" customWidth="1"/>
    <col min="2309" max="2309" width="21" style="1" customWidth="1"/>
    <col min="2310" max="2310" width="20.85546875" style="1" customWidth="1"/>
    <col min="2311" max="2311" width="20.7109375" style="1" customWidth="1"/>
    <col min="2312" max="2312" width="18.85546875" style="1" customWidth="1"/>
    <col min="2313" max="2313" width="19.5703125" style="1" customWidth="1"/>
    <col min="2314" max="2314" width="18" style="1" customWidth="1"/>
    <col min="2315" max="2315" width="9.140625" style="1"/>
    <col min="2316" max="2316" width="23.140625" style="1" customWidth="1"/>
    <col min="2317" max="2317" width="9.140625" style="1"/>
    <col min="2318" max="2318" width="12.5703125" style="1" customWidth="1"/>
    <col min="2319" max="2558" width="9.140625" style="1"/>
    <col min="2559" max="2559" width="4.5703125" style="1" customWidth="1"/>
    <col min="2560" max="2560" width="60.7109375" style="1" customWidth="1"/>
    <col min="2561" max="2561" width="23.85546875" style="1" customWidth="1"/>
    <col min="2562" max="2563" width="21.140625" style="1" customWidth="1"/>
    <col min="2564" max="2564" width="20.42578125" style="1" customWidth="1"/>
    <col min="2565" max="2565" width="21" style="1" customWidth="1"/>
    <col min="2566" max="2566" width="20.85546875" style="1" customWidth="1"/>
    <col min="2567" max="2567" width="20.7109375" style="1" customWidth="1"/>
    <col min="2568" max="2568" width="18.85546875" style="1" customWidth="1"/>
    <col min="2569" max="2569" width="19.5703125" style="1" customWidth="1"/>
    <col min="2570" max="2570" width="18" style="1" customWidth="1"/>
    <col min="2571" max="2571" width="9.140625" style="1"/>
    <col min="2572" max="2572" width="23.140625" style="1" customWidth="1"/>
    <col min="2573" max="2573" width="9.140625" style="1"/>
    <col min="2574" max="2574" width="12.5703125" style="1" customWidth="1"/>
    <col min="2575" max="2814" width="9.140625" style="1"/>
    <col min="2815" max="2815" width="4.5703125" style="1" customWidth="1"/>
    <col min="2816" max="2816" width="60.7109375" style="1" customWidth="1"/>
    <col min="2817" max="2817" width="23.85546875" style="1" customWidth="1"/>
    <col min="2818" max="2819" width="21.140625" style="1" customWidth="1"/>
    <col min="2820" max="2820" width="20.42578125" style="1" customWidth="1"/>
    <col min="2821" max="2821" width="21" style="1" customWidth="1"/>
    <col min="2822" max="2822" width="20.85546875" style="1" customWidth="1"/>
    <col min="2823" max="2823" width="20.7109375" style="1" customWidth="1"/>
    <col min="2824" max="2824" width="18.85546875" style="1" customWidth="1"/>
    <col min="2825" max="2825" width="19.5703125" style="1" customWidth="1"/>
    <col min="2826" max="2826" width="18" style="1" customWidth="1"/>
    <col min="2827" max="2827" width="9.140625" style="1"/>
    <col min="2828" max="2828" width="23.140625" style="1" customWidth="1"/>
    <col min="2829" max="2829" width="9.140625" style="1"/>
    <col min="2830" max="2830" width="12.5703125" style="1" customWidth="1"/>
    <col min="2831" max="3070" width="9.140625" style="1"/>
    <col min="3071" max="3071" width="4.5703125" style="1" customWidth="1"/>
    <col min="3072" max="3072" width="60.7109375" style="1" customWidth="1"/>
    <col min="3073" max="3073" width="23.85546875" style="1" customWidth="1"/>
    <col min="3074" max="3075" width="21.140625" style="1" customWidth="1"/>
    <col min="3076" max="3076" width="20.42578125" style="1" customWidth="1"/>
    <col min="3077" max="3077" width="21" style="1" customWidth="1"/>
    <col min="3078" max="3078" width="20.85546875" style="1" customWidth="1"/>
    <col min="3079" max="3079" width="20.7109375" style="1" customWidth="1"/>
    <col min="3080" max="3080" width="18.85546875" style="1" customWidth="1"/>
    <col min="3081" max="3081" width="19.5703125" style="1" customWidth="1"/>
    <col min="3082" max="3082" width="18" style="1" customWidth="1"/>
    <col min="3083" max="3083" width="9.140625" style="1"/>
    <col min="3084" max="3084" width="23.140625" style="1" customWidth="1"/>
    <col min="3085" max="3085" width="9.140625" style="1"/>
    <col min="3086" max="3086" width="12.5703125" style="1" customWidth="1"/>
    <col min="3087" max="3326" width="9.140625" style="1"/>
    <col min="3327" max="3327" width="4.5703125" style="1" customWidth="1"/>
    <col min="3328" max="3328" width="60.7109375" style="1" customWidth="1"/>
    <col min="3329" max="3329" width="23.85546875" style="1" customWidth="1"/>
    <col min="3330" max="3331" width="21.140625" style="1" customWidth="1"/>
    <col min="3332" max="3332" width="20.42578125" style="1" customWidth="1"/>
    <col min="3333" max="3333" width="21" style="1" customWidth="1"/>
    <col min="3334" max="3334" width="20.85546875" style="1" customWidth="1"/>
    <col min="3335" max="3335" width="20.7109375" style="1" customWidth="1"/>
    <col min="3336" max="3336" width="18.85546875" style="1" customWidth="1"/>
    <col min="3337" max="3337" width="19.5703125" style="1" customWidth="1"/>
    <col min="3338" max="3338" width="18" style="1" customWidth="1"/>
    <col min="3339" max="3339" width="9.140625" style="1"/>
    <col min="3340" max="3340" width="23.140625" style="1" customWidth="1"/>
    <col min="3341" max="3341" width="9.140625" style="1"/>
    <col min="3342" max="3342" width="12.5703125" style="1" customWidth="1"/>
    <col min="3343" max="3582" width="9.140625" style="1"/>
    <col min="3583" max="3583" width="4.5703125" style="1" customWidth="1"/>
    <col min="3584" max="3584" width="60.7109375" style="1" customWidth="1"/>
    <col min="3585" max="3585" width="23.85546875" style="1" customWidth="1"/>
    <col min="3586" max="3587" width="21.140625" style="1" customWidth="1"/>
    <col min="3588" max="3588" width="20.42578125" style="1" customWidth="1"/>
    <col min="3589" max="3589" width="21" style="1" customWidth="1"/>
    <col min="3590" max="3590" width="20.85546875" style="1" customWidth="1"/>
    <col min="3591" max="3591" width="20.7109375" style="1" customWidth="1"/>
    <col min="3592" max="3592" width="18.85546875" style="1" customWidth="1"/>
    <col min="3593" max="3593" width="19.5703125" style="1" customWidth="1"/>
    <col min="3594" max="3594" width="18" style="1" customWidth="1"/>
    <col min="3595" max="3595" width="9.140625" style="1"/>
    <col min="3596" max="3596" width="23.140625" style="1" customWidth="1"/>
    <col min="3597" max="3597" width="9.140625" style="1"/>
    <col min="3598" max="3598" width="12.5703125" style="1" customWidth="1"/>
    <col min="3599" max="3838" width="9.140625" style="1"/>
    <col min="3839" max="3839" width="4.5703125" style="1" customWidth="1"/>
    <col min="3840" max="3840" width="60.7109375" style="1" customWidth="1"/>
    <col min="3841" max="3841" width="23.85546875" style="1" customWidth="1"/>
    <col min="3842" max="3843" width="21.140625" style="1" customWidth="1"/>
    <col min="3844" max="3844" width="20.42578125" style="1" customWidth="1"/>
    <col min="3845" max="3845" width="21" style="1" customWidth="1"/>
    <col min="3846" max="3846" width="20.85546875" style="1" customWidth="1"/>
    <col min="3847" max="3847" width="20.7109375" style="1" customWidth="1"/>
    <col min="3848" max="3848" width="18.85546875" style="1" customWidth="1"/>
    <col min="3849" max="3849" width="19.5703125" style="1" customWidth="1"/>
    <col min="3850" max="3850" width="18" style="1" customWidth="1"/>
    <col min="3851" max="3851" width="9.140625" style="1"/>
    <col min="3852" max="3852" width="23.140625" style="1" customWidth="1"/>
    <col min="3853" max="3853" width="9.140625" style="1"/>
    <col min="3854" max="3854" width="12.5703125" style="1" customWidth="1"/>
    <col min="3855" max="4094" width="9.140625" style="1"/>
    <col min="4095" max="4095" width="4.5703125" style="1" customWidth="1"/>
    <col min="4096" max="4096" width="60.7109375" style="1" customWidth="1"/>
    <col min="4097" max="4097" width="23.85546875" style="1" customWidth="1"/>
    <col min="4098" max="4099" width="21.140625" style="1" customWidth="1"/>
    <col min="4100" max="4100" width="20.42578125" style="1" customWidth="1"/>
    <col min="4101" max="4101" width="21" style="1" customWidth="1"/>
    <col min="4102" max="4102" width="20.85546875" style="1" customWidth="1"/>
    <col min="4103" max="4103" width="20.7109375" style="1" customWidth="1"/>
    <col min="4104" max="4104" width="18.85546875" style="1" customWidth="1"/>
    <col min="4105" max="4105" width="19.5703125" style="1" customWidth="1"/>
    <col min="4106" max="4106" width="18" style="1" customWidth="1"/>
    <col min="4107" max="4107" width="9.140625" style="1"/>
    <col min="4108" max="4108" width="23.140625" style="1" customWidth="1"/>
    <col min="4109" max="4109" width="9.140625" style="1"/>
    <col min="4110" max="4110" width="12.5703125" style="1" customWidth="1"/>
    <col min="4111" max="4350" width="9.140625" style="1"/>
    <col min="4351" max="4351" width="4.5703125" style="1" customWidth="1"/>
    <col min="4352" max="4352" width="60.7109375" style="1" customWidth="1"/>
    <col min="4353" max="4353" width="23.85546875" style="1" customWidth="1"/>
    <col min="4354" max="4355" width="21.140625" style="1" customWidth="1"/>
    <col min="4356" max="4356" width="20.42578125" style="1" customWidth="1"/>
    <col min="4357" max="4357" width="21" style="1" customWidth="1"/>
    <col min="4358" max="4358" width="20.85546875" style="1" customWidth="1"/>
    <col min="4359" max="4359" width="20.7109375" style="1" customWidth="1"/>
    <col min="4360" max="4360" width="18.85546875" style="1" customWidth="1"/>
    <col min="4361" max="4361" width="19.5703125" style="1" customWidth="1"/>
    <col min="4362" max="4362" width="18" style="1" customWidth="1"/>
    <col min="4363" max="4363" width="9.140625" style="1"/>
    <col min="4364" max="4364" width="23.140625" style="1" customWidth="1"/>
    <col min="4365" max="4365" width="9.140625" style="1"/>
    <col min="4366" max="4366" width="12.5703125" style="1" customWidth="1"/>
    <col min="4367" max="4606" width="9.140625" style="1"/>
    <col min="4607" max="4607" width="4.5703125" style="1" customWidth="1"/>
    <col min="4608" max="4608" width="60.7109375" style="1" customWidth="1"/>
    <col min="4609" max="4609" width="23.85546875" style="1" customWidth="1"/>
    <col min="4610" max="4611" width="21.140625" style="1" customWidth="1"/>
    <col min="4612" max="4612" width="20.42578125" style="1" customWidth="1"/>
    <col min="4613" max="4613" width="21" style="1" customWidth="1"/>
    <col min="4614" max="4614" width="20.85546875" style="1" customWidth="1"/>
    <col min="4615" max="4615" width="20.7109375" style="1" customWidth="1"/>
    <col min="4616" max="4616" width="18.85546875" style="1" customWidth="1"/>
    <col min="4617" max="4617" width="19.5703125" style="1" customWidth="1"/>
    <col min="4618" max="4618" width="18" style="1" customWidth="1"/>
    <col min="4619" max="4619" width="9.140625" style="1"/>
    <col min="4620" max="4620" width="23.140625" style="1" customWidth="1"/>
    <col min="4621" max="4621" width="9.140625" style="1"/>
    <col min="4622" max="4622" width="12.5703125" style="1" customWidth="1"/>
    <col min="4623" max="4862" width="9.140625" style="1"/>
    <col min="4863" max="4863" width="4.5703125" style="1" customWidth="1"/>
    <col min="4864" max="4864" width="60.7109375" style="1" customWidth="1"/>
    <col min="4865" max="4865" width="23.85546875" style="1" customWidth="1"/>
    <col min="4866" max="4867" width="21.140625" style="1" customWidth="1"/>
    <col min="4868" max="4868" width="20.42578125" style="1" customWidth="1"/>
    <col min="4869" max="4869" width="21" style="1" customWidth="1"/>
    <col min="4870" max="4870" width="20.85546875" style="1" customWidth="1"/>
    <col min="4871" max="4871" width="20.7109375" style="1" customWidth="1"/>
    <col min="4872" max="4872" width="18.85546875" style="1" customWidth="1"/>
    <col min="4873" max="4873" width="19.5703125" style="1" customWidth="1"/>
    <col min="4874" max="4874" width="18" style="1" customWidth="1"/>
    <col min="4875" max="4875" width="9.140625" style="1"/>
    <col min="4876" max="4876" width="23.140625" style="1" customWidth="1"/>
    <col min="4877" max="4877" width="9.140625" style="1"/>
    <col min="4878" max="4878" width="12.5703125" style="1" customWidth="1"/>
    <col min="4879" max="5118" width="9.140625" style="1"/>
    <col min="5119" max="5119" width="4.5703125" style="1" customWidth="1"/>
    <col min="5120" max="5120" width="60.7109375" style="1" customWidth="1"/>
    <col min="5121" max="5121" width="23.85546875" style="1" customWidth="1"/>
    <col min="5122" max="5123" width="21.140625" style="1" customWidth="1"/>
    <col min="5124" max="5124" width="20.42578125" style="1" customWidth="1"/>
    <col min="5125" max="5125" width="21" style="1" customWidth="1"/>
    <col min="5126" max="5126" width="20.85546875" style="1" customWidth="1"/>
    <col min="5127" max="5127" width="20.7109375" style="1" customWidth="1"/>
    <col min="5128" max="5128" width="18.85546875" style="1" customWidth="1"/>
    <col min="5129" max="5129" width="19.5703125" style="1" customWidth="1"/>
    <col min="5130" max="5130" width="18" style="1" customWidth="1"/>
    <col min="5131" max="5131" width="9.140625" style="1"/>
    <col min="5132" max="5132" width="23.140625" style="1" customWidth="1"/>
    <col min="5133" max="5133" width="9.140625" style="1"/>
    <col min="5134" max="5134" width="12.5703125" style="1" customWidth="1"/>
    <col min="5135" max="5374" width="9.140625" style="1"/>
    <col min="5375" max="5375" width="4.5703125" style="1" customWidth="1"/>
    <col min="5376" max="5376" width="60.7109375" style="1" customWidth="1"/>
    <col min="5377" max="5377" width="23.85546875" style="1" customWidth="1"/>
    <col min="5378" max="5379" width="21.140625" style="1" customWidth="1"/>
    <col min="5380" max="5380" width="20.42578125" style="1" customWidth="1"/>
    <col min="5381" max="5381" width="21" style="1" customWidth="1"/>
    <col min="5382" max="5382" width="20.85546875" style="1" customWidth="1"/>
    <col min="5383" max="5383" width="20.7109375" style="1" customWidth="1"/>
    <col min="5384" max="5384" width="18.85546875" style="1" customWidth="1"/>
    <col min="5385" max="5385" width="19.5703125" style="1" customWidth="1"/>
    <col min="5386" max="5386" width="18" style="1" customWidth="1"/>
    <col min="5387" max="5387" width="9.140625" style="1"/>
    <col min="5388" max="5388" width="23.140625" style="1" customWidth="1"/>
    <col min="5389" max="5389" width="9.140625" style="1"/>
    <col min="5390" max="5390" width="12.5703125" style="1" customWidth="1"/>
    <col min="5391" max="5630" width="9.140625" style="1"/>
    <col min="5631" max="5631" width="4.5703125" style="1" customWidth="1"/>
    <col min="5632" max="5632" width="60.7109375" style="1" customWidth="1"/>
    <col min="5633" max="5633" width="23.85546875" style="1" customWidth="1"/>
    <col min="5634" max="5635" width="21.140625" style="1" customWidth="1"/>
    <col min="5636" max="5636" width="20.42578125" style="1" customWidth="1"/>
    <col min="5637" max="5637" width="21" style="1" customWidth="1"/>
    <col min="5638" max="5638" width="20.85546875" style="1" customWidth="1"/>
    <col min="5639" max="5639" width="20.7109375" style="1" customWidth="1"/>
    <col min="5640" max="5640" width="18.85546875" style="1" customWidth="1"/>
    <col min="5641" max="5641" width="19.5703125" style="1" customWidth="1"/>
    <col min="5642" max="5642" width="18" style="1" customWidth="1"/>
    <col min="5643" max="5643" width="9.140625" style="1"/>
    <col min="5644" max="5644" width="23.140625" style="1" customWidth="1"/>
    <col min="5645" max="5645" width="9.140625" style="1"/>
    <col min="5646" max="5646" width="12.5703125" style="1" customWidth="1"/>
    <col min="5647" max="5886" width="9.140625" style="1"/>
    <col min="5887" max="5887" width="4.5703125" style="1" customWidth="1"/>
    <col min="5888" max="5888" width="60.7109375" style="1" customWidth="1"/>
    <col min="5889" max="5889" width="23.85546875" style="1" customWidth="1"/>
    <col min="5890" max="5891" width="21.140625" style="1" customWidth="1"/>
    <col min="5892" max="5892" width="20.42578125" style="1" customWidth="1"/>
    <col min="5893" max="5893" width="21" style="1" customWidth="1"/>
    <col min="5894" max="5894" width="20.85546875" style="1" customWidth="1"/>
    <col min="5895" max="5895" width="20.7109375" style="1" customWidth="1"/>
    <col min="5896" max="5896" width="18.85546875" style="1" customWidth="1"/>
    <col min="5897" max="5897" width="19.5703125" style="1" customWidth="1"/>
    <col min="5898" max="5898" width="18" style="1" customWidth="1"/>
    <col min="5899" max="5899" width="9.140625" style="1"/>
    <col min="5900" max="5900" width="23.140625" style="1" customWidth="1"/>
    <col min="5901" max="5901" width="9.140625" style="1"/>
    <col min="5902" max="5902" width="12.5703125" style="1" customWidth="1"/>
    <col min="5903" max="6142" width="9.140625" style="1"/>
    <col min="6143" max="6143" width="4.5703125" style="1" customWidth="1"/>
    <col min="6144" max="6144" width="60.7109375" style="1" customWidth="1"/>
    <col min="6145" max="6145" width="23.85546875" style="1" customWidth="1"/>
    <col min="6146" max="6147" width="21.140625" style="1" customWidth="1"/>
    <col min="6148" max="6148" width="20.42578125" style="1" customWidth="1"/>
    <col min="6149" max="6149" width="21" style="1" customWidth="1"/>
    <col min="6150" max="6150" width="20.85546875" style="1" customWidth="1"/>
    <col min="6151" max="6151" width="20.7109375" style="1" customWidth="1"/>
    <col min="6152" max="6152" width="18.85546875" style="1" customWidth="1"/>
    <col min="6153" max="6153" width="19.5703125" style="1" customWidth="1"/>
    <col min="6154" max="6154" width="18" style="1" customWidth="1"/>
    <col min="6155" max="6155" width="9.140625" style="1"/>
    <col min="6156" max="6156" width="23.140625" style="1" customWidth="1"/>
    <col min="6157" max="6157" width="9.140625" style="1"/>
    <col min="6158" max="6158" width="12.5703125" style="1" customWidth="1"/>
    <col min="6159" max="6398" width="9.140625" style="1"/>
    <col min="6399" max="6399" width="4.5703125" style="1" customWidth="1"/>
    <col min="6400" max="6400" width="60.7109375" style="1" customWidth="1"/>
    <col min="6401" max="6401" width="23.85546875" style="1" customWidth="1"/>
    <col min="6402" max="6403" width="21.140625" style="1" customWidth="1"/>
    <col min="6404" max="6404" width="20.42578125" style="1" customWidth="1"/>
    <col min="6405" max="6405" width="21" style="1" customWidth="1"/>
    <col min="6406" max="6406" width="20.85546875" style="1" customWidth="1"/>
    <col min="6407" max="6407" width="20.7109375" style="1" customWidth="1"/>
    <col min="6408" max="6408" width="18.85546875" style="1" customWidth="1"/>
    <col min="6409" max="6409" width="19.5703125" style="1" customWidth="1"/>
    <col min="6410" max="6410" width="18" style="1" customWidth="1"/>
    <col min="6411" max="6411" width="9.140625" style="1"/>
    <col min="6412" max="6412" width="23.140625" style="1" customWidth="1"/>
    <col min="6413" max="6413" width="9.140625" style="1"/>
    <col min="6414" max="6414" width="12.5703125" style="1" customWidth="1"/>
    <col min="6415" max="6654" width="9.140625" style="1"/>
    <col min="6655" max="6655" width="4.5703125" style="1" customWidth="1"/>
    <col min="6656" max="6656" width="60.7109375" style="1" customWidth="1"/>
    <col min="6657" max="6657" width="23.85546875" style="1" customWidth="1"/>
    <col min="6658" max="6659" width="21.140625" style="1" customWidth="1"/>
    <col min="6660" max="6660" width="20.42578125" style="1" customWidth="1"/>
    <col min="6661" max="6661" width="21" style="1" customWidth="1"/>
    <col min="6662" max="6662" width="20.85546875" style="1" customWidth="1"/>
    <col min="6663" max="6663" width="20.7109375" style="1" customWidth="1"/>
    <col min="6664" max="6664" width="18.85546875" style="1" customWidth="1"/>
    <col min="6665" max="6665" width="19.5703125" style="1" customWidth="1"/>
    <col min="6666" max="6666" width="18" style="1" customWidth="1"/>
    <col min="6667" max="6667" width="9.140625" style="1"/>
    <col min="6668" max="6668" width="23.140625" style="1" customWidth="1"/>
    <col min="6669" max="6669" width="9.140625" style="1"/>
    <col min="6670" max="6670" width="12.5703125" style="1" customWidth="1"/>
    <col min="6671" max="6910" width="9.140625" style="1"/>
    <col min="6911" max="6911" width="4.5703125" style="1" customWidth="1"/>
    <col min="6912" max="6912" width="60.7109375" style="1" customWidth="1"/>
    <col min="6913" max="6913" width="23.85546875" style="1" customWidth="1"/>
    <col min="6914" max="6915" width="21.140625" style="1" customWidth="1"/>
    <col min="6916" max="6916" width="20.42578125" style="1" customWidth="1"/>
    <col min="6917" max="6917" width="21" style="1" customWidth="1"/>
    <col min="6918" max="6918" width="20.85546875" style="1" customWidth="1"/>
    <col min="6919" max="6919" width="20.7109375" style="1" customWidth="1"/>
    <col min="6920" max="6920" width="18.85546875" style="1" customWidth="1"/>
    <col min="6921" max="6921" width="19.5703125" style="1" customWidth="1"/>
    <col min="6922" max="6922" width="18" style="1" customWidth="1"/>
    <col min="6923" max="6923" width="9.140625" style="1"/>
    <col min="6924" max="6924" width="23.140625" style="1" customWidth="1"/>
    <col min="6925" max="6925" width="9.140625" style="1"/>
    <col min="6926" max="6926" width="12.5703125" style="1" customWidth="1"/>
    <col min="6927" max="7166" width="9.140625" style="1"/>
    <col min="7167" max="7167" width="4.5703125" style="1" customWidth="1"/>
    <col min="7168" max="7168" width="60.7109375" style="1" customWidth="1"/>
    <col min="7169" max="7169" width="23.85546875" style="1" customWidth="1"/>
    <col min="7170" max="7171" width="21.140625" style="1" customWidth="1"/>
    <col min="7172" max="7172" width="20.42578125" style="1" customWidth="1"/>
    <col min="7173" max="7173" width="21" style="1" customWidth="1"/>
    <col min="7174" max="7174" width="20.85546875" style="1" customWidth="1"/>
    <col min="7175" max="7175" width="20.7109375" style="1" customWidth="1"/>
    <col min="7176" max="7176" width="18.85546875" style="1" customWidth="1"/>
    <col min="7177" max="7177" width="19.5703125" style="1" customWidth="1"/>
    <col min="7178" max="7178" width="18" style="1" customWidth="1"/>
    <col min="7179" max="7179" width="9.140625" style="1"/>
    <col min="7180" max="7180" width="23.140625" style="1" customWidth="1"/>
    <col min="7181" max="7181" width="9.140625" style="1"/>
    <col min="7182" max="7182" width="12.5703125" style="1" customWidth="1"/>
    <col min="7183" max="7422" width="9.140625" style="1"/>
    <col min="7423" max="7423" width="4.5703125" style="1" customWidth="1"/>
    <col min="7424" max="7424" width="60.7109375" style="1" customWidth="1"/>
    <col min="7425" max="7425" width="23.85546875" style="1" customWidth="1"/>
    <col min="7426" max="7427" width="21.140625" style="1" customWidth="1"/>
    <col min="7428" max="7428" width="20.42578125" style="1" customWidth="1"/>
    <col min="7429" max="7429" width="21" style="1" customWidth="1"/>
    <col min="7430" max="7430" width="20.85546875" style="1" customWidth="1"/>
    <col min="7431" max="7431" width="20.7109375" style="1" customWidth="1"/>
    <col min="7432" max="7432" width="18.85546875" style="1" customWidth="1"/>
    <col min="7433" max="7433" width="19.5703125" style="1" customWidth="1"/>
    <col min="7434" max="7434" width="18" style="1" customWidth="1"/>
    <col min="7435" max="7435" width="9.140625" style="1"/>
    <col min="7436" max="7436" width="23.140625" style="1" customWidth="1"/>
    <col min="7437" max="7437" width="9.140625" style="1"/>
    <col min="7438" max="7438" width="12.5703125" style="1" customWidth="1"/>
    <col min="7439" max="7678" width="9.140625" style="1"/>
    <col min="7679" max="7679" width="4.5703125" style="1" customWidth="1"/>
    <col min="7680" max="7680" width="60.7109375" style="1" customWidth="1"/>
    <col min="7681" max="7681" width="23.85546875" style="1" customWidth="1"/>
    <col min="7682" max="7683" width="21.140625" style="1" customWidth="1"/>
    <col min="7684" max="7684" width="20.42578125" style="1" customWidth="1"/>
    <col min="7685" max="7685" width="21" style="1" customWidth="1"/>
    <col min="7686" max="7686" width="20.85546875" style="1" customWidth="1"/>
    <col min="7687" max="7687" width="20.7109375" style="1" customWidth="1"/>
    <col min="7688" max="7688" width="18.85546875" style="1" customWidth="1"/>
    <col min="7689" max="7689" width="19.5703125" style="1" customWidth="1"/>
    <col min="7690" max="7690" width="18" style="1" customWidth="1"/>
    <col min="7691" max="7691" width="9.140625" style="1"/>
    <col min="7692" max="7692" width="23.140625" style="1" customWidth="1"/>
    <col min="7693" max="7693" width="9.140625" style="1"/>
    <col min="7694" max="7694" width="12.5703125" style="1" customWidth="1"/>
    <col min="7695" max="7934" width="9.140625" style="1"/>
    <col min="7935" max="7935" width="4.5703125" style="1" customWidth="1"/>
    <col min="7936" max="7936" width="60.7109375" style="1" customWidth="1"/>
    <col min="7937" max="7937" width="23.85546875" style="1" customWidth="1"/>
    <col min="7938" max="7939" width="21.140625" style="1" customWidth="1"/>
    <col min="7940" max="7940" width="20.42578125" style="1" customWidth="1"/>
    <col min="7941" max="7941" width="21" style="1" customWidth="1"/>
    <col min="7942" max="7942" width="20.85546875" style="1" customWidth="1"/>
    <col min="7943" max="7943" width="20.7109375" style="1" customWidth="1"/>
    <col min="7944" max="7944" width="18.85546875" style="1" customWidth="1"/>
    <col min="7945" max="7945" width="19.5703125" style="1" customWidth="1"/>
    <col min="7946" max="7946" width="18" style="1" customWidth="1"/>
    <col min="7947" max="7947" width="9.140625" style="1"/>
    <col min="7948" max="7948" width="23.140625" style="1" customWidth="1"/>
    <col min="7949" max="7949" width="9.140625" style="1"/>
    <col min="7950" max="7950" width="12.5703125" style="1" customWidth="1"/>
    <col min="7951" max="8190" width="9.140625" style="1"/>
    <col min="8191" max="8191" width="4.5703125" style="1" customWidth="1"/>
    <col min="8192" max="8192" width="60.7109375" style="1" customWidth="1"/>
    <col min="8193" max="8193" width="23.85546875" style="1" customWidth="1"/>
    <col min="8194" max="8195" width="21.140625" style="1" customWidth="1"/>
    <col min="8196" max="8196" width="20.42578125" style="1" customWidth="1"/>
    <col min="8197" max="8197" width="21" style="1" customWidth="1"/>
    <col min="8198" max="8198" width="20.85546875" style="1" customWidth="1"/>
    <col min="8199" max="8199" width="20.7109375" style="1" customWidth="1"/>
    <col min="8200" max="8200" width="18.85546875" style="1" customWidth="1"/>
    <col min="8201" max="8201" width="19.5703125" style="1" customWidth="1"/>
    <col min="8202" max="8202" width="18" style="1" customWidth="1"/>
    <col min="8203" max="8203" width="9.140625" style="1"/>
    <col min="8204" max="8204" width="23.140625" style="1" customWidth="1"/>
    <col min="8205" max="8205" width="9.140625" style="1"/>
    <col min="8206" max="8206" width="12.5703125" style="1" customWidth="1"/>
    <col min="8207" max="8446" width="9.140625" style="1"/>
    <col min="8447" max="8447" width="4.5703125" style="1" customWidth="1"/>
    <col min="8448" max="8448" width="60.7109375" style="1" customWidth="1"/>
    <col min="8449" max="8449" width="23.85546875" style="1" customWidth="1"/>
    <col min="8450" max="8451" width="21.140625" style="1" customWidth="1"/>
    <col min="8452" max="8452" width="20.42578125" style="1" customWidth="1"/>
    <col min="8453" max="8453" width="21" style="1" customWidth="1"/>
    <col min="8454" max="8454" width="20.85546875" style="1" customWidth="1"/>
    <col min="8455" max="8455" width="20.7109375" style="1" customWidth="1"/>
    <col min="8456" max="8456" width="18.85546875" style="1" customWidth="1"/>
    <col min="8457" max="8457" width="19.5703125" style="1" customWidth="1"/>
    <col min="8458" max="8458" width="18" style="1" customWidth="1"/>
    <col min="8459" max="8459" width="9.140625" style="1"/>
    <col min="8460" max="8460" width="23.140625" style="1" customWidth="1"/>
    <col min="8461" max="8461" width="9.140625" style="1"/>
    <col min="8462" max="8462" width="12.5703125" style="1" customWidth="1"/>
    <col min="8463" max="8702" width="9.140625" style="1"/>
    <col min="8703" max="8703" width="4.5703125" style="1" customWidth="1"/>
    <col min="8704" max="8704" width="60.7109375" style="1" customWidth="1"/>
    <col min="8705" max="8705" width="23.85546875" style="1" customWidth="1"/>
    <col min="8706" max="8707" width="21.140625" style="1" customWidth="1"/>
    <col min="8708" max="8708" width="20.42578125" style="1" customWidth="1"/>
    <col min="8709" max="8709" width="21" style="1" customWidth="1"/>
    <col min="8710" max="8710" width="20.85546875" style="1" customWidth="1"/>
    <col min="8711" max="8711" width="20.7109375" style="1" customWidth="1"/>
    <col min="8712" max="8712" width="18.85546875" style="1" customWidth="1"/>
    <col min="8713" max="8713" width="19.5703125" style="1" customWidth="1"/>
    <col min="8714" max="8714" width="18" style="1" customWidth="1"/>
    <col min="8715" max="8715" width="9.140625" style="1"/>
    <col min="8716" max="8716" width="23.140625" style="1" customWidth="1"/>
    <col min="8717" max="8717" width="9.140625" style="1"/>
    <col min="8718" max="8718" width="12.5703125" style="1" customWidth="1"/>
    <col min="8719" max="8958" width="9.140625" style="1"/>
    <col min="8959" max="8959" width="4.5703125" style="1" customWidth="1"/>
    <col min="8960" max="8960" width="60.7109375" style="1" customWidth="1"/>
    <col min="8961" max="8961" width="23.85546875" style="1" customWidth="1"/>
    <col min="8962" max="8963" width="21.140625" style="1" customWidth="1"/>
    <col min="8964" max="8964" width="20.42578125" style="1" customWidth="1"/>
    <col min="8965" max="8965" width="21" style="1" customWidth="1"/>
    <col min="8966" max="8966" width="20.85546875" style="1" customWidth="1"/>
    <col min="8967" max="8967" width="20.7109375" style="1" customWidth="1"/>
    <col min="8968" max="8968" width="18.85546875" style="1" customWidth="1"/>
    <col min="8969" max="8969" width="19.5703125" style="1" customWidth="1"/>
    <col min="8970" max="8970" width="18" style="1" customWidth="1"/>
    <col min="8971" max="8971" width="9.140625" style="1"/>
    <col min="8972" max="8972" width="23.140625" style="1" customWidth="1"/>
    <col min="8973" max="8973" width="9.140625" style="1"/>
    <col min="8974" max="8974" width="12.5703125" style="1" customWidth="1"/>
    <col min="8975" max="9214" width="9.140625" style="1"/>
    <col min="9215" max="9215" width="4.5703125" style="1" customWidth="1"/>
    <col min="9216" max="9216" width="60.7109375" style="1" customWidth="1"/>
    <col min="9217" max="9217" width="23.85546875" style="1" customWidth="1"/>
    <col min="9218" max="9219" width="21.140625" style="1" customWidth="1"/>
    <col min="9220" max="9220" width="20.42578125" style="1" customWidth="1"/>
    <col min="9221" max="9221" width="21" style="1" customWidth="1"/>
    <col min="9222" max="9222" width="20.85546875" style="1" customWidth="1"/>
    <col min="9223" max="9223" width="20.7109375" style="1" customWidth="1"/>
    <col min="9224" max="9224" width="18.85546875" style="1" customWidth="1"/>
    <col min="9225" max="9225" width="19.5703125" style="1" customWidth="1"/>
    <col min="9226" max="9226" width="18" style="1" customWidth="1"/>
    <col min="9227" max="9227" width="9.140625" style="1"/>
    <col min="9228" max="9228" width="23.140625" style="1" customWidth="1"/>
    <col min="9229" max="9229" width="9.140625" style="1"/>
    <col min="9230" max="9230" width="12.5703125" style="1" customWidth="1"/>
    <col min="9231" max="9470" width="9.140625" style="1"/>
    <col min="9471" max="9471" width="4.5703125" style="1" customWidth="1"/>
    <col min="9472" max="9472" width="60.7109375" style="1" customWidth="1"/>
    <col min="9473" max="9473" width="23.85546875" style="1" customWidth="1"/>
    <col min="9474" max="9475" width="21.140625" style="1" customWidth="1"/>
    <col min="9476" max="9476" width="20.42578125" style="1" customWidth="1"/>
    <col min="9477" max="9477" width="21" style="1" customWidth="1"/>
    <col min="9478" max="9478" width="20.85546875" style="1" customWidth="1"/>
    <col min="9479" max="9479" width="20.7109375" style="1" customWidth="1"/>
    <col min="9480" max="9480" width="18.85546875" style="1" customWidth="1"/>
    <col min="9481" max="9481" width="19.5703125" style="1" customWidth="1"/>
    <col min="9482" max="9482" width="18" style="1" customWidth="1"/>
    <col min="9483" max="9483" width="9.140625" style="1"/>
    <col min="9484" max="9484" width="23.140625" style="1" customWidth="1"/>
    <col min="9485" max="9485" width="9.140625" style="1"/>
    <col min="9486" max="9486" width="12.5703125" style="1" customWidth="1"/>
    <col min="9487" max="9726" width="9.140625" style="1"/>
    <col min="9727" max="9727" width="4.5703125" style="1" customWidth="1"/>
    <col min="9728" max="9728" width="60.7109375" style="1" customWidth="1"/>
    <col min="9729" max="9729" width="23.85546875" style="1" customWidth="1"/>
    <col min="9730" max="9731" width="21.140625" style="1" customWidth="1"/>
    <col min="9732" max="9732" width="20.42578125" style="1" customWidth="1"/>
    <col min="9733" max="9733" width="21" style="1" customWidth="1"/>
    <col min="9734" max="9734" width="20.85546875" style="1" customWidth="1"/>
    <col min="9735" max="9735" width="20.7109375" style="1" customWidth="1"/>
    <col min="9736" max="9736" width="18.85546875" style="1" customWidth="1"/>
    <col min="9737" max="9737" width="19.5703125" style="1" customWidth="1"/>
    <col min="9738" max="9738" width="18" style="1" customWidth="1"/>
    <col min="9739" max="9739" width="9.140625" style="1"/>
    <col min="9740" max="9740" width="23.140625" style="1" customWidth="1"/>
    <col min="9741" max="9741" width="9.140625" style="1"/>
    <col min="9742" max="9742" width="12.5703125" style="1" customWidth="1"/>
    <col min="9743" max="9982" width="9.140625" style="1"/>
    <col min="9983" max="9983" width="4.5703125" style="1" customWidth="1"/>
    <col min="9984" max="9984" width="60.7109375" style="1" customWidth="1"/>
    <col min="9985" max="9985" width="23.85546875" style="1" customWidth="1"/>
    <col min="9986" max="9987" width="21.140625" style="1" customWidth="1"/>
    <col min="9988" max="9988" width="20.42578125" style="1" customWidth="1"/>
    <col min="9989" max="9989" width="21" style="1" customWidth="1"/>
    <col min="9990" max="9990" width="20.85546875" style="1" customWidth="1"/>
    <col min="9991" max="9991" width="20.7109375" style="1" customWidth="1"/>
    <col min="9992" max="9992" width="18.85546875" style="1" customWidth="1"/>
    <col min="9993" max="9993" width="19.5703125" style="1" customWidth="1"/>
    <col min="9994" max="9994" width="18" style="1" customWidth="1"/>
    <col min="9995" max="9995" width="9.140625" style="1"/>
    <col min="9996" max="9996" width="23.140625" style="1" customWidth="1"/>
    <col min="9997" max="9997" width="9.140625" style="1"/>
    <col min="9998" max="9998" width="12.5703125" style="1" customWidth="1"/>
    <col min="9999" max="10238" width="9.140625" style="1"/>
    <col min="10239" max="10239" width="4.5703125" style="1" customWidth="1"/>
    <col min="10240" max="10240" width="60.7109375" style="1" customWidth="1"/>
    <col min="10241" max="10241" width="23.85546875" style="1" customWidth="1"/>
    <col min="10242" max="10243" width="21.140625" style="1" customWidth="1"/>
    <col min="10244" max="10244" width="20.42578125" style="1" customWidth="1"/>
    <col min="10245" max="10245" width="21" style="1" customWidth="1"/>
    <col min="10246" max="10246" width="20.85546875" style="1" customWidth="1"/>
    <col min="10247" max="10247" width="20.7109375" style="1" customWidth="1"/>
    <col min="10248" max="10248" width="18.85546875" style="1" customWidth="1"/>
    <col min="10249" max="10249" width="19.5703125" style="1" customWidth="1"/>
    <col min="10250" max="10250" width="18" style="1" customWidth="1"/>
    <col min="10251" max="10251" width="9.140625" style="1"/>
    <col min="10252" max="10252" width="23.140625" style="1" customWidth="1"/>
    <col min="10253" max="10253" width="9.140625" style="1"/>
    <col min="10254" max="10254" width="12.5703125" style="1" customWidth="1"/>
    <col min="10255" max="10494" width="9.140625" style="1"/>
    <col min="10495" max="10495" width="4.5703125" style="1" customWidth="1"/>
    <col min="10496" max="10496" width="60.7109375" style="1" customWidth="1"/>
    <col min="10497" max="10497" width="23.85546875" style="1" customWidth="1"/>
    <col min="10498" max="10499" width="21.140625" style="1" customWidth="1"/>
    <col min="10500" max="10500" width="20.42578125" style="1" customWidth="1"/>
    <col min="10501" max="10501" width="21" style="1" customWidth="1"/>
    <col min="10502" max="10502" width="20.85546875" style="1" customWidth="1"/>
    <col min="10503" max="10503" width="20.7109375" style="1" customWidth="1"/>
    <col min="10504" max="10504" width="18.85546875" style="1" customWidth="1"/>
    <col min="10505" max="10505" width="19.5703125" style="1" customWidth="1"/>
    <col min="10506" max="10506" width="18" style="1" customWidth="1"/>
    <col min="10507" max="10507" width="9.140625" style="1"/>
    <col min="10508" max="10508" width="23.140625" style="1" customWidth="1"/>
    <col min="10509" max="10509" width="9.140625" style="1"/>
    <col min="10510" max="10510" width="12.5703125" style="1" customWidth="1"/>
    <col min="10511" max="10750" width="9.140625" style="1"/>
    <col min="10751" max="10751" width="4.5703125" style="1" customWidth="1"/>
    <col min="10752" max="10752" width="60.7109375" style="1" customWidth="1"/>
    <col min="10753" max="10753" width="23.85546875" style="1" customWidth="1"/>
    <col min="10754" max="10755" width="21.140625" style="1" customWidth="1"/>
    <col min="10756" max="10756" width="20.42578125" style="1" customWidth="1"/>
    <col min="10757" max="10757" width="21" style="1" customWidth="1"/>
    <col min="10758" max="10758" width="20.85546875" style="1" customWidth="1"/>
    <col min="10759" max="10759" width="20.7109375" style="1" customWidth="1"/>
    <col min="10760" max="10760" width="18.85546875" style="1" customWidth="1"/>
    <col min="10761" max="10761" width="19.5703125" style="1" customWidth="1"/>
    <col min="10762" max="10762" width="18" style="1" customWidth="1"/>
    <col min="10763" max="10763" width="9.140625" style="1"/>
    <col min="10764" max="10764" width="23.140625" style="1" customWidth="1"/>
    <col min="10765" max="10765" width="9.140625" style="1"/>
    <col min="10766" max="10766" width="12.5703125" style="1" customWidth="1"/>
    <col min="10767" max="11006" width="9.140625" style="1"/>
    <col min="11007" max="11007" width="4.5703125" style="1" customWidth="1"/>
    <col min="11008" max="11008" width="60.7109375" style="1" customWidth="1"/>
    <col min="11009" max="11009" width="23.85546875" style="1" customWidth="1"/>
    <col min="11010" max="11011" width="21.140625" style="1" customWidth="1"/>
    <col min="11012" max="11012" width="20.42578125" style="1" customWidth="1"/>
    <col min="11013" max="11013" width="21" style="1" customWidth="1"/>
    <col min="11014" max="11014" width="20.85546875" style="1" customWidth="1"/>
    <col min="11015" max="11015" width="20.7109375" style="1" customWidth="1"/>
    <col min="11016" max="11016" width="18.85546875" style="1" customWidth="1"/>
    <col min="11017" max="11017" width="19.5703125" style="1" customWidth="1"/>
    <col min="11018" max="11018" width="18" style="1" customWidth="1"/>
    <col min="11019" max="11019" width="9.140625" style="1"/>
    <col min="11020" max="11020" width="23.140625" style="1" customWidth="1"/>
    <col min="11021" max="11021" width="9.140625" style="1"/>
    <col min="11022" max="11022" width="12.5703125" style="1" customWidth="1"/>
    <col min="11023" max="11262" width="9.140625" style="1"/>
    <col min="11263" max="11263" width="4.5703125" style="1" customWidth="1"/>
    <col min="11264" max="11264" width="60.7109375" style="1" customWidth="1"/>
    <col min="11265" max="11265" width="23.85546875" style="1" customWidth="1"/>
    <col min="11266" max="11267" width="21.140625" style="1" customWidth="1"/>
    <col min="11268" max="11268" width="20.42578125" style="1" customWidth="1"/>
    <col min="11269" max="11269" width="21" style="1" customWidth="1"/>
    <col min="11270" max="11270" width="20.85546875" style="1" customWidth="1"/>
    <col min="11271" max="11271" width="20.7109375" style="1" customWidth="1"/>
    <col min="11272" max="11272" width="18.85546875" style="1" customWidth="1"/>
    <col min="11273" max="11273" width="19.5703125" style="1" customWidth="1"/>
    <col min="11274" max="11274" width="18" style="1" customWidth="1"/>
    <col min="11275" max="11275" width="9.140625" style="1"/>
    <col min="11276" max="11276" width="23.140625" style="1" customWidth="1"/>
    <col min="11277" max="11277" width="9.140625" style="1"/>
    <col min="11278" max="11278" width="12.5703125" style="1" customWidth="1"/>
    <col min="11279" max="11518" width="9.140625" style="1"/>
    <col min="11519" max="11519" width="4.5703125" style="1" customWidth="1"/>
    <col min="11520" max="11520" width="60.7109375" style="1" customWidth="1"/>
    <col min="11521" max="11521" width="23.85546875" style="1" customWidth="1"/>
    <col min="11522" max="11523" width="21.140625" style="1" customWidth="1"/>
    <col min="11524" max="11524" width="20.42578125" style="1" customWidth="1"/>
    <col min="11525" max="11525" width="21" style="1" customWidth="1"/>
    <col min="11526" max="11526" width="20.85546875" style="1" customWidth="1"/>
    <col min="11527" max="11527" width="20.7109375" style="1" customWidth="1"/>
    <col min="11528" max="11528" width="18.85546875" style="1" customWidth="1"/>
    <col min="11529" max="11529" width="19.5703125" style="1" customWidth="1"/>
    <col min="11530" max="11530" width="18" style="1" customWidth="1"/>
    <col min="11531" max="11531" width="9.140625" style="1"/>
    <col min="11532" max="11532" width="23.140625" style="1" customWidth="1"/>
    <col min="11533" max="11533" width="9.140625" style="1"/>
    <col min="11534" max="11534" width="12.5703125" style="1" customWidth="1"/>
    <col min="11535" max="11774" width="9.140625" style="1"/>
    <col min="11775" max="11775" width="4.5703125" style="1" customWidth="1"/>
    <col min="11776" max="11776" width="60.7109375" style="1" customWidth="1"/>
    <col min="11777" max="11777" width="23.85546875" style="1" customWidth="1"/>
    <col min="11778" max="11779" width="21.140625" style="1" customWidth="1"/>
    <col min="11780" max="11780" width="20.42578125" style="1" customWidth="1"/>
    <col min="11781" max="11781" width="21" style="1" customWidth="1"/>
    <col min="11782" max="11782" width="20.85546875" style="1" customWidth="1"/>
    <col min="11783" max="11783" width="20.7109375" style="1" customWidth="1"/>
    <col min="11784" max="11784" width="18.85546875" style="1" customWidth="1"/>
    <col min="11785" max="11785" width="19.5703125" style="1" customWidth="1"/>
    <col min="11786" max="11786" width="18" style="1" customWidth="1"/>
    <col min="11787" max="11787" width="9.140625" style="1"/>
    <col min="11788" max="11788" width="23.140625" style="1" customWidth="1"/>
    <col min="11789" max="11789" width="9.140625" style="1"/>
    <col min="11790" max="11790" width="12.5703125" style="1" customWidth="1"/>
    <col min="11791" max="12030" width="9.140625" style="1"/>
    <col min="12031" max="12031" width="4.5703125" style="1" customWidth="1"/>
    <col min="12032" max="12032" width="60.7109375" style="1" customWidth="1"/>
    <col min="12033" max="12033" width="23.85546875" style="1" customWidth="1"/>
    <col min="12034" max="12035" width="21.140625" style="1" customWidth="1"/>
    <col min="12036" max="12036" width="20.42578125" style="1" customWidth="1"/>
    <col min="12037" max="12037" width="21" style="1" customWidth="1"/>
    <col min="12038" max="12038" width="20.85546875" style="1" customWidth="1"/>
    <col min="12039" max="12039" width="20.7109375" style="1" customWidth="1"/>
    <col min="12040" max="12040" width="18.85546875" style="1" customWidth="1"/>
    <col min="12041" max="12041" width="19.5703125" style="1" customWidth="1"/>
    <col min="12042" max="12042" width="18" style="1" customWidth="1"/>
    <col min="12043" max="12043" width="9.140625" style="1"/>
    <col min="12044" max="12044" width="23.140625" style="1" customWidth="1"/>
    <col min="12045" max="12045" width="9.140625" style="1"/>
    <col min="12046" max="12046" width="12.5703125" style="1" customWidth="1"/>
    <col min="12047" max="12286" width="9.140625" style="1"/>
    <col min="12287" max="12287" width="4.5703125" style="1" customWidth="1"/>
    <col min="12288" max="12288" width="60.7109375" style="1" customWidth="1"/>
    <col min="12289" max="12289" width="23.85546875" style="1" customWidth="1"/>
    <col min="12290" max="12291" width="21.140625" style="1" customWidth="1"/>
    <col min="12292" max="12292" width="20.42578125" style="1" customWidth="1"/>
    <col min="12293" max="12293" width="21" style="1" customWidth="1"/>
    <col min="12294" max="12294" width="20.85546875" style="1" customWidth="1"/>
    <col min="12295" max="12295" width="20.7109375" style="1" customWidth="1"/>
    <col min="12296" max="12296" width="18.85546875" style="1" customWidth="1"/>
    <col min="12297" max="12297" width="19.5703125" style="1" customWidth="1"/>
    <col min="12298" max="12298" width="18" style="1" customWidth="1"/>
    <col min="12299" max="12299" width="9.140625" style="1"/>
    <col min="12300" max="12300" width="23.140625" style="1" customWidth="1"/>
    <col min="12301" max="12301" width="9.140625" style="1"/>
    <col min="12302" max="12302" width="12.5703125" style="1" customWidth="1"/>
    <col min="12303" max="12542" width="9.140625" style="1"/>
    <col min="12543" max="12543" width="4.5703125" style="1" customWidth="1"/>
    <col min="12544" max="12544" width="60.7109375" style="1" customWidth="1"/>
    <col min="12545" max="12545" width="23.85546875" style="1" customWidth="1"/>
    <col min="12546" max="12547" width="21.140625" style="1" customWidth="1"/>
    <col min="12548" max="12548" width="20.42578125" style="1" customWidth="1"/>
    <col min="12549" max="12549" width="21" style="1" customWidth="1"/>
    <col min="12550" max="12550" width="20.85546875" style="1" customWidth="1"/>
    <col min="12551" max="12551" width="20.7109375" style="1" customWidth="1"/>
    <col min="12552" max="12552" width="18.85546875" style="1" customWidth="1"/>
    <col min="12553" max="12553" width="19.5703125" style="1" customWidth="1"/>
    <col min="12554" max="12554" width="18" style="1" customWidth="1"/>
    <col min="12555" max="12555" width="9.140625" style="1"/>
    <col min="12556" max="12556" width="23.140625" style="1" customWidth="1"/>
    <col min="12557" max="12557" width="9.140625" style="1"/>
    <col min="12558" max="12558" width="12.5703125" style="1" customWidth="1"/>
    <col min="12559" max="12798" width="9.140625" style="1"/>
    <col min="12799" max="12799" width="4.5703125" style="1" customWidth="1"/>
    <col min="12800" max="12800" width="60.7109375" style="1" customWidth="1"/>
    <col min="12801" max="12801" width="23.85546875" style="1" customWidth="1"/>
    <col min="12802" max="12803" width="21.140625" style="1" customWidth="1"/>
    <col min="12804" max="12804" width="20.42578125" style="1" customWidth="1"/>
    <col min="12805" max="12805" width="21" style="1" customWidth="1"/>
    <col min="12806" max="12806" width="20.85546875" style="1" customWidth="1"/>
    <col min="12807" max="12807" width="20.7109375" style="1" customWidth="1"/>
    <col min="12808" max="12808" width="18.85546875" style="1" customWidth="1"/>
    <col min="12809" max="12809" width="19.5703125" style="1" customWidth="1"/>
    <col min="12810" max="12810" width="18" style="1" customWidth="1"/>
    <col min="12811" max="12811" width="9.140625" style="1"/>
    <col min="12812" max="12812" width="23.140625" style="1" customWidth="1"/>
    <col min="12813" max="12813" width="9.140625" style="1"/>
    <col min="12814" max="12814" width="12.5703125" style="1" customWidth="1"/>
    <col min="12815" max="13054" width="9.140625" style="1"/>
    <col min="13055" max="13055" width="4.5703125" style="1" customWidth="1"/>
    <col min="13056" max="13056" width="60.7109375" style="1" customWidth="1"/>
    <col min="13057" max="13057" width="23.85546875" style="1" customWidth="1"/>
    <col min="13058" max="13059" width="21.140625" style="1" customWidth="1"/>
    <col min="13060" max="13060" width="20.42578125" style="1" customWidth="1"/>
    <col min="13061" max="13061" width="21" style="1" customWidth="1"/>
    <col min="13062" max="13062" width="20.85546875" style="1" customWidth="1"/>
    <col min="13063" max="13063" width="20.7109375" style="1" customWidth="1"/>
    <col min="13064" max="13064" width="18.85546875" style="1" customWidth="1"/>
    <col min="13065" max="13065" width="19.5703125" style="1" customWidth="1"/>
    <col min="13066" max="13066" width="18" style="1" customWidth="1"/>
    <col min="13067" max="13067" width="9.140625" style="1"/>
    <col min="13068" max="13068" width="23.140625" style="1" customWidth="1"/>
    <col min="13069" max="13069" width="9.140625" style="1"/>
    <col min="13070" max="13070" width="12.5703125" style="1" customWidth="1"/>
    <col min="13071" max="13310" width="9.140625" style="1"/>
    <col min="13311" max="13311" width="4.5703125" style="1" customWidth="1"/>
    <col min="13312" max="13312" width="60.7109375" style="1" customWidth="1"/>
    <col min="13313" max="13313" width="23.85546875" style="1" customWidth="1"/>
    <col min="13314" max="13315" width="21.140625" style="1" customWidth="1"/>
    <col min="13316" max="13316" width="20.42578125" style="1" customWidth="1"/>
    <col min="13317" max="13317" width="21" style="1" customWidth="1"/>
    <col min="13318" max="13318" width="20.85546875" style="1" customWidth="1"/>
    <col min="13319" max="13319" width="20.7109375" style="1" customWidth="1"/>
    <col min="13320" max="13320" width="18.85546875" style="1" customWidth="1"/>
    <col min="13321" max="13321" width="19.5703125" style="1" customWidth="1"/>
    <col min="13322" max="13322" width="18" style="1" customWidth="1"/>
    <col min="13323" max="13323" width="9.140625" style="1"/>
    <col min="13324" max="13324" width="23.140625" style="1" customWidth="1"/>
    <col min="13325" max="13325" width="9.140625" style="1"/>
    <col min="13326" max="13326" width="12.5703125" style="1" customWidth="1"/>
    <col min="13327" max="13566" width="9.140625" style="1"/>
    <col min="13567" max="13567" width="4.5703125" style="1" customWidth="1"/>
    <col min="13568" max="13568" width="60.7109375" style="1" customWidth="1"/>
    <col min="13569" max="13569" width="23.85546875" style="1" customWidth="1"/>
    <col min="13570" max="13571" width="21.140625" style="1" customWidth="1"/>
    <col min="13572" max="13572" width="20.42578125" style="1" customWidth="1"/>
    <col min="13573" max="13573" width="21" style="1" customWidth="1"/>
    <col min="13574" max="13574" width="20.85546875" style="1" customWidth="1"/>
    <col min="13575" max="13575" width="20.7109375" style="1" customWidth="1"/>
    <col min="13576" max="13576" width="18.85546875" style="1" customWidth="1"/>
    <col min="13577" max="13577" width="19.5703125" style="1" customWidth="1"/>
    <col min="13578" max="13578" width="18" style="1" customWidth="1"/>
    <col min="13579" max="13579" width="9.140625" style="1"/>
    <col min="13580" max="13580" width="23.140625" style="1" customWidth="1"/>
    <col min="13581" max="13581" width="9.140625" style="1"/>
    <col min="13582" max="13582" width="12.5703125" style="1" customWidth="1"/>
    <col min="13583" max="13822" width="9.140625" style="1"/>
    <col min="13823" max="13823" width="4.5703125" style="1" customWidth="1"/>
    <col min="13824" max="13824" width="60.7109375" style="1" customWidth="1"/>
    <col min="13825" max="13825" width="23.85546875" style="1" customWidth="1"/>
    <col min="13826" max="13827" width="21.140625" style="1" customWidth="1"/>
    <col min="13828" max="13828" width="20.42578125" style="1" customWidth="1"/>
    <col min="13829" max="13829" width="21" style="1" customWidth="1"/>
    <col min="13830" max="13830" width="20.85546875" style="1" customWidth="1"/>
    <col min="13831" max="13831" width="20.7109375" style="1" customWidth="1"/>
    <col min="13832" max="13832" width="18.85546875" style="1" customWidth="1"/>
    <col min="13833" max="13833" width="19.5703125" style="1" customWidth="1"/>
    <col min="13834" max="13834" width="18" style="1" customWidth="1"/>
    <col min="13835" max="13835" width="9.140625" style="1"/>
    <col min="13836" max="13836" width="23.140625" style="1" customWidth="1"/>
    <col min="13837" max="13837" width="9.140625" style="1"/>
    <col min="13838" max="13838" width="12.5703125" style="1" customWidth="1"/>
    <col min="13839" max="14078" width="9.140625" style="1"/>
    <col min="14079" max="14079" width="4.5703125" style="1" customWidth="1"/>
    <col min="14080" max="14080" width="60.7109375" style="1" customWidth="1"/>
    <col min="14081" max="14081" width="23.85546875" style="1" customWidth="1"/>
    <col min="14082" max="14083" width="21.140625" style="1" customWidth="1"/>
    <col min="14084" max="14084" width="20.42578125" style="1" customWidth="1"/>
    <col min="14085" max="14085" width="21" style="1" customWidth="1"/>
    <col min="14086" max="14086" width="20.85546875" style="1" customWidth="1"/>
    <col min="14087" max="14087" width="20.7109375" style="1" customWidth="1"/>
    <col min="14088" max="14088" width="18.85546875" style="1" customWidth="1"/>
    <col min="14089" max="14089" width="19.5703125" style="1" customWidth="1"/>
    <col min="14090" max="14090" width="18" style="1" customWidth="1"/>
    <col min="14091" max="14091" width="9.140625" style="1"/>
    <col min="14092" max="14092" width="23.140625" style="1" customWidth="1"/>
    <col min="14093" max="14093" width="9.140625" style="1"/>
    <col min="14094" max="14094" width="12.5703125" style="1" customWidth="1"/>
    <col min="14095" max="14334" width="9.140625" style="1"/>
    <col min="14335" max="14335" width="4.5703125" style="1" customWidth="1"/>
    <col min="14336" max="14336" width="60.7109375" style="1" customWidth="1"/>
    <col min="14337" max="14337" width="23.85546875" style="1" customWidth="1"/>
    <col min="14338" max="14339" width="21.140625" style="1" customWidth="1"/>
    <col min="14340" max="14340" width="20.42578125" style="1" customWidth="1"/>
    <col min="14341" max="14341" width="21" style="1" customWidth="1"/>
    <col min="14342" max="14342" width="20.85546875" style="1" customWidth="1"/>
    <col min="14343" max="14343" width="20.7109375" style="1" customWidth="1"/>
    <col min="14344" max="14344" width="18.85546875" style="1" customWidth="1"/>
    <col min="14345" max="14345" width="19.5703125" style="1" customWidth="1"/>
    <col min="14346" max="14346" width="18" style="1" customWidth="1"/>
    <col min="14347" max="14347" width="9.140625" style="1"/>
    <col min="14348" max="14348" width="23.140625" style="1" customWidth="1"/>
    <col min="14349" max="14349" width="9.140625" style="1"/>
    <col min="14350" max="14350" width="12.5703125" style="1" customWidth="1"/>
    <col min="14351" max="14590" width="9.140625" style="1"/>
    <col min="14591" max="14591" width="4.5703125" style="1" customWidth="1"/>
    <col min="14592" max="14592" width="60.7109375" style="1" customWidth="1"/>
    <col min="14593" max="14593" width="23.85546875" style="1" customWidth="1"/>
    <col min="14594" max="14595" width="21.140625" style="1" customWidth="1"/>
    <col min="14596" max="14596" width="20.42578125" style="1" customWidth="1"/>
    <col min="14597" max="14597" width="21" style="1" customWidth="1"/>
    <col min="14598" max="14598" width="20.85546875" style="1" customWidth="1"/>
    <col min="14599" max="14599" width="20.7109375" style="1" customWidth="1"/>
    <col min="14600" max="14600" width="18.85546875" style="1" customWidth="1"/>
    <col min="14601" max="14601" width="19.5703125" style="1" customWidth="1"/>
    <col min="14602" max="14602" width="18" style="1" customWidth="1"/>
    <col min="14603" max="14603" width="9.140625" style="1"/>
    <col min="14604" max="14604" width="23.140625" style="1" customWidth="1"/>
    <col min="14605" max="14605" width="9.140625" style="1"/>
    <col min="14606" max="14606" width="12.5703125" style="1" customWidth="1"/>
    <col min="14607" max="14846" width="9.140625" style="1"/>
    <col min="14847" max="14847" width="4.5703125" style="1" customWidth="1"/>
    <col min="14848" max="14848" width="60.7109375" style="1" customWidth="1"/>
    <col min="14849" max="14849" width="23.85546875" style="1" customWidth="1"/>
    <col min="14850" max="14851" width="21.140625" style="1" customWidth="1"/>
    <col min="14852" max="14852" width="20.42578125" style="1" customWidth="1"/>
    <col min="14853" max="14853" width="21" style="1" customWidth="1"/>
    <col min="14854" max="14854" width="20.85546875" style="1" customWidth="1"/>
    <col min="14855" max="14855" width="20.7109375" style="1" customWidth="1"/>
    <col min="14856" max="14856" width="18.85546875" style="1" customWidth="1"/>
    <col min="14857" max="14857" width="19.5703125" style="1" customWidth="1"/>
    <col min="14858" max="14858" width="18" style="1" customWidth="1"/>
    <col min="14859" max="14859" width="9.140625" style="1"/>
    <col min="14860" max="14860" width="23.140625" style="1" customWidth="1"/>
    <col min="14861" max="14861" width="9.140625" style="1"/>
    <col min="14862" max="14862" width="12.5703125" style="1" customWidth="1"/>
    <col min="14863" max="15102" width="9.140625" style="1"/>
    <col min="15103" max="15103" width="4.5703125" style="1" customWidth="1"/>
    <col min="15104" max="15104" width="60.7109375" style="1" customWidth="1"/>
    <col min="15105" max="15105" width="23.85546875" style="1" customWidth="1"/>
    <col min="15106" max="15107" width="21.140625" style="1" customWidth="1"/>
    <col min="15108" max="15108" width="20.42578125" style="1" customWidth="1"/>
    <col min="15109" max="15109" width="21" style="1" customWidth="1"/>
    <col min="15110" max="15110" width="20.85546875" style="1" customWidth="1"/>
    <col min="15111" max="15111" width="20.7109375" style="1" customWidth="1"/>
    <col min="15112" max="15112" width="18.85546875" style="1" customWidth="1"/>
    <col min="15113" max="15113" width="19.5703125" style="1" customWidth="1"/>
    <col min="15114" max="15114" width="18" style="1" customWidth="1"/>
    <col min="15115" max="15115" width="9.140625" style="1"/>
    <col min="15116" max="15116" width="23.140625" style="1" customWidth="1"/>
    <col min="15117" max="15117" width="9.140625" style="1"/>
    <col min="15118" max="15118" width="12.5703125" style="1" customWidth="1"/>
    <col min="15119" max="15358" width="9.140625" style="1"/>
    <col min="15359" max="15359" width="4.5703125" style="1" customWidth="1"/>
    <col min="15360" max="15360" width="60.7109375" style="1" customWidth="1"/>
    <col min="15361" max="15361" width="23.85546875" style="1" customWidth="1"/>
    <col min="15362" max="15363" width="21.140625" style="1" customWidth="1"/>
    <col min="15364" max="15364" width="20.42578125" style="1" customWidth="1"/>
    <col min="15365" max="15365" width="21" style="1" customWidth="1"/>
    <col min="15366" max="15366" width="20.85546875" style="1" customWidth="1"/>
    <col min="15367" max="15367" width="20.7109375" style="1" customWidth="1"/>
    <col min="15368" max="15368" width="18.85546875" style="1" customWidth="1"/>
    <col min="15369" max="15369" width="19.5703125" style="1" customWidth="1"/>
    <col min="15370" max="15370" width="18" style="1" customWidth="1"/>
    <col min="15371" max="15371" width="9.140625" style="1"/>
    <col min="15372" max="15372" width="23.140625" style="1" customWidth="1"/>
    <col min="15373" max="15373" width="9.140625" style="1"/>
    <col min="15374" max="15374" width="12.5703125" style="1" customWidth="1"/>
    <col min="15375" max="15614" width="9.140625" style="1"/>
    <col min="15615" max="15615" width="4.5703125" style="1" customWidth="1"/>
    <col min="15616" max="15616" width="60.7109375" style="1" customWidth="1"/>
    <col min="15617" max="15617" width="23.85546875" style="1" customWidth="1"/>
    <col min="15618" max="15619" width="21.140625" style="1" customWidth="1"/>
    <col min="15620" max="15620" width="20.42578125" style="1" customWidth="1"/>
    <col min="15621" max="15621" width="21" style="1" customWidth="1"/>
    <col min="15622" max="15622" width="20.85546875" style="1" customWidth="1"/>
    <col min="15623" max="15623" width="20.7109375" style="1" customWidth="1"/>
    <col min="15624" max="15624" width="18.85546875" style="1" customWidth="1"/>
    <col min="15625" max="15625" width="19.5703125" style="1" customWidth="1"/>
    <col min="15626" max="15626" width="18" style="1" customWidth="1"/>
    <col min="15627" max="15627" width="9.140625" style="1"/>
    <col min="15628" max="15628" width="23.140625" style="1" customWidth="1"/>
    <col min="15629" max="15629" width="9.140625" style="1"/>
    <col min="15630" max="15630" width="12.5703125" style="1" customWidth="1"/>
    <col min="15631" max="15870" width="9.140625" style="1"/>
    <col min="15871" max="15871" width="4.5703125" style="1" customWidth="1"/>
    <col min="15872" max="15872" width="60.7109375" style="1" customWidth="1"/>
    <col min="15873" max="15873" width="23.85546875" style="1" customWidth="1"/>
    <col min="15874" max="15875" width="21.140625" style="1" customWidth="1"/>
    <col min="15876" max="15876" width="20.42578125" style="1" customWidth="1"/>
    <col min="15877" max="15877" width="21" style="1" customWidth="1"/>
    <col min="15878" max="15878" width="20.85546875" style="1" customWidth="1"/>
    <col min="15879" max="15879" width="20.7109375" style="1" customWidth="1"/>
    <col min="15880" max="15880" width="18.85546875" style="1" customWidth="1"/>
    <col min="15881" max="15881" width="19.5703125" style="1" customWidth="1"/>
    <col min="15882" max="15882" width="18" style="1" customWidth="1"/>
    <col min="15883" max="15883" width="9.140625" style="1"/>
    <col min="15884" max="15884" width="23.140625" style="1" customWidth="1"/>
    <col min="15885" max="15885" width="9.140625" style="1"/>
    <col min="15886" max="15886" width="12.5703125" style="1" customWidth="1"/>
    <col min="15887" max="16126" width="9.140625" style="1"/>
    <col min="16127" max="16127" width="4.5703125" style="1" customWidth="1"/>
    <col min="16128" max="16128" width="60.7109375" style="1" customWidth="1"/>
    <col min="16129" max="16129" width="23.85546875" style="1" customWidth="1"/>
    <col min="16130" max="16131" width="21.140625" style="1" customWidth="1"/>
    <col min="16132" max="16132" width="20.42578125" style="1" customWidth="1"/>
    <col min="16133" max="16133" width="21" style="1" customWidth="1"/>
    <col min="16134" max="16134" width="20.85546875" style="1" customWidth="1"/>
    <col min="16135" max="16135" width="20.7109375" style="1" customWidth="1"/>
    <col min="16136" max="16136" width="18.85546875" style="1" customWidth="1"/>
    <col min="16137" max="16137" width="19.5703125" style="1" customWidth="1"/>
    <col min="16138" max="16138" width="18" style="1" customWidth="1"/>
    <col min="16139" max="16139" width="9.140625" style="1"/>
    <col min="16140" max="16140" width="23.140625" style="1" customWidth="1"/>
    <col min="16141" max="16141" width="9.140625" style="1"/>
    <col min="16142" max="16142" width="12.5703125" style="1" customWidth="1"/>
    <col min="16143" max="16384" width="9.140625" style="1"/>
  </cols>
  <sheetData>
    <row r="1" spans="1:16" ht="23.25" x14ac:dyDescent="0.35">
      <c r="C1" s="36"/>
      <c r="N1" s="395" t="s">
        <v>355</v>
      </c>
      <c r="O1" s="1" t="s">
        <v>356</v>
      </c>
      <c r="P1" s="395" t="s">
        <v>357</v>
      </c>
    </row>
    <row r="2" spans="1:16" ht="20.25" customHeight="1" x14ac:dyDescent="0.35">
      <c r="C2" s="545" t="s">
        <v>137</v>
      </c>
      <c r="D2" s="545"/>
      <c r="E2" s="545"/>
      <c r="F2" s="545"/>
      <c r="G2" s="545"/>
      <c r="H2" s="545"/>
      <c r="I2" s="545"/>
      <c r="J2" s="545"/>
      <c r="K2" s="545"/>
      <c r="L2" s="545"/>
      <c r="M2" s="545"/>
      <c r="N2" s="545"/>
      <c r="O2" s="545"/>
      <c r="P2" s="1"/>
    </row>
    <row r="3" spans="1:16" ht="20.25" customHeight="1" x14ac:dyDescent="0.35">
      <c r="A3" s="2"/>
      <c r="C3" s="545" t="s">
        <v>110</v>
      </c>
      <c r="D3" s="545"/>
      <c r="E3" s="545"/>
      <c r="F3" s="545"/>
      <c r="G3" s="545"/>
      <c r="H3" s="545"/>
      <c r="I3" s="545"/>
      <c r="J3" s="545"/>
      <c r="K3" s="545"/>
      <c r="L3" s="545"/>
      <c r="M3" s="545"/>
      <c r="N3" s="545"/>
      <c r="O3" s="545"/>
      <c r="P3" s="1"/>
    </row>
    <row r="4" spans="1:16" ht="20.25" customHeight="1" x14ac:dyDescent="0.35">
      <c r="A4" s="2"/>
      <c r="C4" s="545" t="s">
        <v>61</v>
      </c>
      <c r="D4" s="545"/>
      <c r="E4" s="545"/>
      <c r="F4" s="545"/>
      <c r="G4" s="545"/>
      <c r="H4" s="545"/>
      <c r="I4" s="545"/>
      <c r="J4" s="545"/>
      <c r="K4" s="545"/>
      <c r="L4" s="545"/>
      <c r="M4" s="545"/>
      <c r="N4" s="545"/>
      <c r="O4" s="545"/>
      <c r="P4" s="1"/>
    </row>
    <row r="5" spans="1:16" ht="20.25" customHeight="1" thickBot="1" x14ac:dyDescent="0.35">
      <c r="A5" s="2"/>
      <c r="C5" s="613"/>
      <c r="D5" s="613"/>
      <c r="E5" s="613"/>
      <c r="F5" s="613"/>
      <c r="G5" s="613"/>
      <c r="H5" s="613"/>
      <c r="I5" s="613"/>
      <c r="J5" s="613"/>
      <c r="K5" s="613"/>
      <c r="L5" s="613"/>
      <c r="M5" s="613"/>
      <c r="N5" s="613"/>
      <c r="O5" s="613"/>
      <c r="P5" s="1"/>
    </row>
    <row r="6" spans="1:16" s="7" customFormat="1" ht="17.25" customHeight="1" x14ac:dyDescent="0.25">
      <c r="A6" s="6"/>
      <c r="B6" s="6"/>
      <c r="C6" s="200"/>
      <c r="D6" s="166">
        <v>2013</v>
      </c>
      <c r="E6" s="166">
        <v>2014</v>
      </c>
      <c r="F6" s="166">
        <v>2015</v>
      </c>
      <c r="G6" s="166">
        <v>2016</v>
      </c>
      <c r="H6" s="166">
        <v>2017</v>
      </c>
      <c r="I6" s="166">
        <v>2018</v>
      </c>
      <c r="J6" s="166">
        <v>2019</v>
      </c>
      <c r="K6" s="166">
        <v>2020</v>
      </c>
      <c r="L6" s="166">
        <v>2021</v>
      </c>
      <c r="M6" s="166">
        <v>2022</v>
      </c>
      <c r="N6" s="166">
        <v>2023</v>
      </c>
      <c r="O6" s="166">
        <v>2024</v>
      </c>
      <c r="P6" s="166">
        <v>2025</v>
      </c>
    </row>
    <row r="7" spans="1:16" ht="17.25" customHeight="1" x14ac:dyDescent="0.25">
      <c r="A7" s="6"/>
      <c r="B7" s="6"/>
      <c r="C7" s="201"/>
      <c r="D7" s="170" t="s">
        <v>62</v>
      </c>
      <c r="E7" s="170" t="s">
        <v>62</v>
      </c>
      <c r="F7" s="170" t="s">
        <v>62</v>
      </c>
      <c r="G7" s="170" t="s">
        <v>62</v>
      </c>
      <c r="H7" s="170" t="s">
        <v>62</v>
      </c>
      <c r="I7" s="170" t="s">
        <v>62</v>
      </c>
      <c r="J7" s="170" t="s">
        <v>62</v>
      </c>
      <c r="K7" s="170" t="s">
        <v>62</v>
      </c>
      <c r="L7" s="170" t="s">
        <v>62</v>
      </c>
      <c r="M7" s="170" t="s">
        <v>39</v>
      </c>
      <c r="N7" s="170" t="s">
        <v>39</v>
      </c>
      <c r="O7" s="170" t="s">
        <v>39</v>
      </c>
      <c r="P7" s="170" t="s">
        <v>39</v>
      </c>
    </row>
    <row r="8" spans="1:16" ht="16.5" customHeight="1" x14ac:dyDescent="0.25">
      <c r="A8" s="6"/>
      <c r="B8" s="6"/>
      <c r="C8" s="169" t="s">
        <v>140</v>
      </c>
      <c r="D8" s="170"/>
      <c r="E8" s="170"/>
      <c r="F8" s="170"/>
      <c r="G8" s="170"/>
      <c r="H8" s="170"/>
      <c r="I8" s="170"/>
      <c r="J8" s="170"/>
      <c r="K8" s="170"/>
      <c r="L8" s="170"/>
      <c r="M8" s="170"/>
      <c r="N8" s="170"/>
      <c r="O8" s="170"/>
      <c r="P8" s="170"/>
    </row>
    <row r="9" spans="1:16" ht="48.75" customHeight="1" thickBot="1" x14ac:dyDescent="0.3">
      <c r="A9" s="6"/>
      <c r="B9" s="6"/>
      <c r="C9" s="203"/>
      <c r="D9" s="291"/>
      <c r="E9" s="291"/>
      <c r="F9" s="291"/>
      <c r="G9" s="291"/>
      <c r="H9" s="291"/>
      <c r="I9" s="291"/>
      <c r="J9" s="291"/>
      <c r="K9" s="291"/>
      <c r="L9" s="291"/>
      <c r="M9" s="291"/>
      <c r="N9" s="291"/>
      <c r="O9" s="291"/>
      <c r="P9" s="291"/>
    </row>
    <row r="10" spans="1:16" s="8" customFormat="1" ht="18.75" thickBot="1" x14ac:dyDescent="0.3">
      <c r="A10" s="6"/>
      <c r="B10" s="6"/>
      <c r="C10" s="541" t="s">
        <v>8</v>
      </c>
      <c r="D10" s="541"/>
      <c r="E10" s="541"/>
      <c r="F10" s="541"/>
      <c r="G10" s="541"/>
      <c r="H10" s="541"/>
      <c r="I10" s="541"/>
      <c r="J10" s="541"/>
      <c r="K10" s="541"/>
      <c r="L10" s="541"/>
      <c r="M10" s="541"/>
      <c r="N10" s="541"/>
      <c r="O10" s="541"/>
    </row>
    <row r="11" spans="1:16" s="2" customFormat="1" ht="27" customHeight="1" thickBot="1" x14ac:dyDescent="0.3">
      <c r="A11" s="9" t="s">
        <v>0</v>
      </c>
      <c r="B11" s="38"/>
      <c r="C11" s="177" t="s">
        <v>126</v>
      </c>
      <c r="D11" s="292">
        <v>193666.83000000002</v>
      </c>
      <c r="E11" s="292">
        <v>677845</v>
      </c>
      <c r="F11" s="292">
        <v>764789.8</v>
      </c>
      <c r="G11" s="292">
        <v>692482</v>
      </c>
      <c r="H11" s="292">
        <v>881482.12999999989</v>
      </c>
      <c r="I11" s="292">
        <v>918565</v>
      </c>
      <c r="J11" s="292">
        <v>887551</v>
      </c>
      <c r="K11" s="292">
        <v>489620</v>
      </c>
      <c r="L11" s="292">
        <f>'ES CT Gas Table A'!F13</f>
        <v>822507.64</v>
      </c>
      <c r="M11" s="292">
        <f>'ES CT Gas Table A'!I13</f>
        <v>519888.75177892495</v>
      </c>
      <c r="N11" s="292">
        <f>'ES CT Gas Table A'!L13</f>
        <v>317700.75177892495</v>
      </c>
      <c r="O11" s="292">
        <f>'ES CT Gas Table A'!N13</f>
        <v>127080.550355785</v>
      </c>
      <c r="P11" s="292">
        <f>'ES CT Gas Table A'!O13</f>
        <v>63540.275177892501</v>
      </c>
    </row>
    <row r="12" spans="1:16" s="2" customFormat="1" ht="38.25" customHeight="1" thickBot="1" x14ac:dyDescent="0.3">
      <c r="A12" s="9" t="s">
        <v>0</v>
      </c>
      <c r="B12" s="38"/>
      <c r="C12" s="479" t="s">
        <v>314</v>
      </c>
      <c r="D12" s="292">
        <v>1724523.4600000014</v>
      </c>
      <c r="E12" s="292">
        <v>4493416</v>
      </c>
      <c r="F12" s="292">
        <v>3432630.95</v>
      </c>
      <c r="G12" s="292">
        <v>2952063</v>
      </c>
      <c r="H12" s="292">
        <v>3379814.2200000021</v>
      </c>
      <c r="I12" s="292">
        <v>1843187</v>
      </c>
      <c r="J12" s="292">
        <v>2572719</v>
      </c>
      <c r="K12" s="292">
        <v>2893620</v>
      </c>
      <c r="L12" s="292">
        <f>'ES CT Gas Table A'!F14</f>
        <v>4608941.76</v>
      </c>
      <c r="M12" s="292">
        <f>'ES CT Gas Table A'!I14</f>
        <v>1811975.3862450402</v>
      </c>
      <c r="N12" s="292">
        <f>'ES CT Gas Table A'!L14</f>
        <v>3266170.3862450402</v>
      </c>
      <c r="O12" s="292">
        <f>'ES CT Gas Table A'!N14</f>
        <v>3744974.3862450402</v>
      </c>
      <c r="P12" s="292">
        <f>'ES CT Gas Table A'!O14</f>
        <v>3812981.3862450402</v>
      </c>
    </row>
    <row r="13" spans="1:16" s="2" customFormat="1" ht="18.75" thickBot="1" x14ac:dyDescent="0.3">
      <c r="A13" s="9" t="s">
        <v>0</v>
      </c>
      <c r="B13" s="38"/>
      <c r="C13" s="479" t="s">
        <v>348</v>
      </c>
      <c r="D13" s="293">
        <v>0</v>
      </c>
      <c r="E13" s="293">
        <v>0</v>
      </c>
      <c r="F13" s="292">
        <v>0</v>
      </c>
      <c r="G13" s="292">
        <v>1668456</v>
      </c>
      <c r="H13" s="292">
        <v>1483857.3499999999</v>
      </c>
      <c r="I13" s="292">
        <v>2938795</v>
      </c>
      <c r="J13" s="292">
        <v>3441578</v>
      </c>
      <c r="K13" s="292">
        <v>4573515</v>
      </c>
      <c r="L13" s="292">
        <f>'ES CT Gas Table A'!F15</f>
        <v>4394965</v>
      </c>
      <c r="M13" s="292">
        <f>'ES CT Gas Table A'!I15</f>
        <v>3752229.8734730501</v>
      </c>
      <c r="N13" s="292">
        <f>'ES CT Gas Table A'!L15</f>
        <v>3041652.8734730501</v>
      </c>
      <c r="O13" s="292">
        <f>'ES CT Gas Table A'!N15</f>
        <v>3041652.8734730501</v>
      </c>
      <c r="P13" s="292">
        <f>'ES CT Gas Table A'!O15</f>
        <v>3041652.8734730501</v>
      </c>
    </row>
    <row r="14" spans="1:16" s="6" customFormat="1" ht="25.5" customHeight="1" thickBot="1" x14ac:dyDescent="0.3">
      <c r="A14" s="9" t="s">
        <v>0</v>
      </c>
      <c r="B14" s="38"/>
      <c r="C14" s="177" t="s">
        <v>230</v>
      </c>
      <c r="D14" s="292">
        <v>3138424.7599999988</v>
      </c>
      <c r="E14" s="292">
        <v>5614632</v>
      </c>
      <c r="F14" s="292">
        <v>4650418.17</v>
      </c>
      <c r="G14" s="292">
        <v>4926003</v>
      </c>
      <c r="H14" s="292">
        <v>4617167.740000003</v>
      </c>
      <c r="I14" s="292">
        <v>4400007</v>
      </c>
      <c r="J14" s="292">
        <v>3404495</v>
      </c>
      <c r="K14" s="292">
        <v>4303596</v>
      </c>
      <c r="L14" s="292">
        <f>'ES CT Gas Table A'!F16</f>
        <v>6126982</v>
      </c>
      <c r="M14" s="292">
        <f>'ES CT Gas Table A'!I16</f>
        <v>3395274.2081856499</v>
      </c>
      <c r="N14" s="292">
        <f>'ES CT Gas Table A'!L16</f>
        <v>5046220.6981856497</v>
      </c>
      <c r="O14" s="292">
        <f>'ES CT Gas Table A'!N16</f>
        <v>5108944.6981856497</v>
      </c>
      <c r="P14" s="292">
        <f>'ES CT Gas Table A'!O16</f>
        <v>5176951.6981856497</v>
      </c>
    </row>
    <row r="15" spans="1:16" s="2" customFormat="1" ht="21" customHeight="1" thickBot="1" x14ac:dyDescent="0.3">
      <c r="A15" s="9" t="s">
        <v>0</v>
      </c>
      <c r="B15" s="38"/>
      <c r="C15" s="177" t="s">
        <v>127</v>
      </c>
      <c r="D15" s="292">
        <v>41069.32</v>
      </c>
      <c r="E15" s="292">
        <v>329133</v>
      </c>
      <c r="F15" s="292">
        <v>523846.45</v>
      </c>
      <c r="G15" s="292">
        <v>0</v>
      </c>
      <c r="H15" s="292">
        <v>0</v>
      </c>
      <c r="I15" s="292">
        <v>0</v>
      </c>
      <c r="J15" s="292">
        <v>0</v>
      </c>
      <c r="K15" s="292">
        <v>0</v>
      </c>
      <c r="L15" s="292">
        <v>0</v>
      </c>
      <c r="M15" s="292">
        <v>0</v>
      </c>
      <c r="N15" s="292">
        <v>0</v>
      </c>
      <c r="O15" s="292">
        <v>0</v>
      </c>
      <c r="P15" s="292">
        <v>0</v>
      </c>
    </row>
    <row r="16" spans="1:16" s="2" customFormat="1" ht="20.25" customHeight="1" thickBot="1" x14ac:dyDescent="0.3">
      <c r="A16" s="9" t="s">
        <v>0</v>
      </c>
      <c r="B16" s="38"/>
      <c r="C16" s="177" t="s">
        <v>195</v>
      </c>
      <c r="D16" s="292">
        <v>0</v>
      </c>
      <c r="E16" s="292">
        <v>0</v>
      </c>
      <c r="F16" s="292">
        <v>0</v>
      </c>
      <c r="G16" s="292">
        <v>183310</v>
      </c>
      <c r="H16" s="292">
        <v>614172.92000000016</v>
      </c>
      <c r="I16" s="292">
        <v>167458</v>
      </c>
      <c r="J16" s="292">
        <v>414553</v>
      </c>
      <c r="K16" s="292">
        <v>0</v>
      </c>
      <c r="L16" s="292">
        <f>'ES CT Gas Table A'!F17</f>
        <v>0</v>
      </c>
      <c r="M16" s="292">
        <f>'ES CT Gas Table A'!I17</f>
        <v>10000</v>
      </c>
      <c r="N16" s="292">
        <f>'ES CT Gas Table A'!L17</f>
        <v>10000</v>
      </c>
      <c r="O16" s="292">
        <f>'ES CT Gas Table A'!N17</f>
        <v>10000</v>
      </c>
      <c r="P16" s="292">
        <f>'ES CT Gas Table A'!O17</f>
        <v>10000</v>
      </c>
    </row>
    <row r="17" spans="1:16" ht="18.75" thickBot="1" x14ac:dyDescent="0.3">
      <c r="A17" s="6"/>
      <c r="B17" s="6"/>
      <c r="C17" s="176" t="s">
        <v>213</v>
      </c>
      <c r="D17" s="294">
        <f>SUM(D11:D16)</f>
        <v>5097684.370000001</v>
      </c>
      <c r="E17" s="294">
        <f>SUM(E11:E16)</f>
        <v>11115026</v>
      </c>
      <c r="F17" s="294">
        <f t="shared" ref="F17:K17" si="0">SUM(F11:F16)</f>
        <v>9371685.3699999992</v>
      </c>
      <c r="G17" s="294">
        <f t="shared" si="0"/>
        <v>10422314</v>
      </c>
      <c r="H17" s="294">
        <f t="shared" si="0"/>
        <v>10976494.360000005</v>
      </c>
      <c r="I17" s="294">
        <f t="shared" si="0"/>
        <v>10268012</v>
      </c>
      <c r="J17" s="294">
        <f t="shared" si="0"/>
        <v>10720896</v>
      </c>
      <c r="K17" s="294">
        <f t="shared" si="0"/>
        <v>12260351</v>
      </c>
      <c r="L17" s="294">
        <f>SUM(L11:L16)</f>
        <v>15953396.399999999</v>
      </c>
      <c r="M17" s="294">
        <f>SUM(M11:M16)</f>
        <v>9489368.2196826655</v>
      </c>
      <c r="N17" s="294">
        <f>SUM(N11:N16)</f>
        <v>11681744.709682666</v>
      </c>
      <c r="O17" s="294">
        <f>SUM(O11:O16)</f>
        <v>12032652.508259524</v>
      </c>
      <c r="P17" s="294">
        <f>SUM(P11:P16)</f>
        <v>12105126.233081631</v>
      </c>
    </row>
    <row r="18" spans="1:16" s="2" customFormat="1" ht="20.25" customHeight="1" thickBot="1" x14ac:dyDescent="0.3">
      <c r="A18" s="8"/>
      <c r="B18" s="6"/>
      <c r="C18" s="542" t="s">
        <v>1</v>
      </c>
      <c r="D18" s="542"/>
      <c r="E18" s="542"/>
      <c r="F18" s="542"/>
      <c r="G18" s="542"/>
      <c r="H18" s="542"/>
      <c r="I18" s="542"/>
      <c r="J18" s="542"/>
      <c r="K18" s="542"/>
      <c r="L18" s="542"/>
      <c r="M18" s="542"/>
      <c r="N18" s="542"/>
      <c r="O18" s="542"/>
    </row>
    <row r="19" spans="1:16" ht="21.75" customHeight="1" thickBot="1" x14ac:dyDescent="0.3">
      <c r="A19" s="10" t="s">
        <v>2</v>
      </c>
      <c r="B19" s="6"/>
      <c r="C19" s="181" t="s">
        <v>94</v>
      </c>
      <c r="D19" s="292">
        <v>1152025.08</v>
      </c>
      <c r="E19" s="292">
        <v>3034664</v>
      </c>
      <c r="F19" s="292">
        <v>2634533</v>
      </c>
      <c r="G19" s="292">
        <v>2080768</v>
      </c>
      <c r="H19" s="292">
        <v>1603198.9700000004</v>
      </c>
      <c r="I19" s="292">
        <v>1831447</v>
      </c>
      <c r="J19" s="292">
        <v>3177795</v>
      </c>
      <c r="K19" s="292">
        <v>3510955</v>
      </c>
      <c r="L19" s="292">
        <f>'ES CT Gas Table A'!F20</f>
        <v>3754255</v>
      </c>
      <c r="M19" s="292">
        <f>'ES CT Gas Table A'!I20</f>
        <v>3743509.1009455798</v>
      </c>
      <c r="N19" s="292">
        <f>'ES CT Gas Table A'!L20</f>
        <v>4160543.1009455798</v>
      </c>
      <c r="O19" s="292">
        <f>'ES CT Gas Table A'!N20</f>
        <v>4160543.1009455798</v>
      </c>
      <c r="P19" s="292">
        <f>'ES CT Gas Table A'!O20</f>
        <v>4160543.1009455798</v>
      </c>
    </row>
    <row r="20" spans="1:16" ht="27.75" customHeight="1" thickBot="1" x14ac:dyDescent="0.3">
      <c r="A20" s="10" t="s">
        <v>2</v>
      </c>
      <c r="B20" s="6"/>
      <c r="C20" s="177" t="s">
        <v>48</v>
      </c>
      <c r="D20" s="292">
        <v>870584.93</v>
      </c>
      <c r="E20" s="292">
        <v>2053847</v>
      </c>
      <c r="F20" s="292">
        <v>1668217</v>
      </c>
      <c r="G20" s="292">
        <v>4135899</v>
      </c>
      <c r="H20" s="292">
        <v>3555604.1500000008</v>
      </c>
      <c r="I20" s="292">
        <v>4097336</v>
      </c>
      <c r="J20" s="292">
        <v>3236775</v>
      </c>
      <c r="K20" s="292">
        <v>3377127</v>
      </c>
      <c r="L20" s="292">
        <f>'ES CT Gas Table A'!F21</f>
        <v>732274</v>
      </c>
      <c r="M20" s="292">
        <f>'ES CT Gas Table A'!I21</f>
        <v>1497489.05094558</v>
      </c>
      <c r="N20" s="292">
        <f>'ES CT Gas Table A'!L21</f>
        <v>3825064.5409455802</v>
      </c>
      <c r="O20" s="292">
        <f>'ES CT Gas Table A'!N21</f>
        <v>3827265.5409455802</v>
      </c>
      <c r="P20" s="292">
        <f>'ES CT Gas Table A'!O21</f>
        <v>3827265.5409455802</v>
      </c>
    </row>
    <row r="21" spans="1:16" ht="39" customHeight="1" thickBot="1" x14ac:dyDescent="0.3">
      <c r="A21" s="10" t="s">
        <v>2</v>
      </c>
      <c r="B21" s="6"/>
      <c r="C21" s="272" t="s">
        <v>321</v>
      </c>
      <c r="D21" s="292">
        <v>94554.23000000001</v>
      </c>
      <c r="E21" s="292">
        <v>299105</v>
      </c>
      <c r="F21" s="292">
        <v>219014</v>
      </c>
      <c r="G21" s="292">
        <v>678102</v>
      </c>
      <c r="H21" s="292">
        <v>553690.44999999972</v>
      </c>
      <c r="I21" s="292">
        <v>569494</v>
      </c>
      <c r="J21" s="292">
        <v>972152</v>
      </c>
      <c r="K21" s="292">
        <v>645936</v>
      </c>
      <c r="L21" s="292">
        <f>'ES CT Gas Table A'!F22</f>
        <v>408183</v>
      </c>
      <c r="M21" s="292">
        <f>'ES CT Gas Table A'!I22</f>
        <v>473951.71374376002</v>
      </c>
      <c r="N21" s="292">
        <f>'ES CT Gas Table A'!L22</f>
        <v>708371.71374376002</v>
      </c>
      <c r="O21" s="292">
        <f>'ES CT Gas Table A'!N22</f>
        <v>708371.71374376002</v>
      </c>
      <c r="P21" s="292">
        <f>'ES CT Gas Table A'!O22</f>
        <v>708371.71374376002</v>
      </c>
    </row>
    <row r="22" spans="1:16" ht="21" customHeight="1" thickBot="1" x14ac:dyDescent="0.3">
      <c r="A22" s="10" t="s">
        <v>2</v>
      </c>
      <c r="B22" s="6"/>
      <c r="C22" s="177" t="s">
        <v>128</v>
      </c>
      <c r="D22" s="292">
        <v>422843.52</v>
      </c>
      <c r="E22" s="292">
        <v>218468</v>
      </c>
      <c r="F22" s="292">
        <v>329075</v>
      </c>
      <c r="G22" s="292">
        <v>381268</v>
      </c>
      <c r="H22" s="292">
        <v>848653.97000000009</v>
      </c>
      <c r="I22" s="292">
        <v>247416</v>
      </c>
      <c r="J22" s="292">
        <v>220886</v>
      </c>
      <c r="K22" s="292">
        <v>125273</v>
      </c>
      <c r="L22" s="292">
        <f>'ES CT Gas Table A'!F23</f>
        <v>270988</v>
      </c>
      <c r="M22" s="292">
        <f>'ES CT Gas Table A'!I23</f>
        <v>487946.61648411001</v>
      </c>
      <c r="N22" s="292">
        <f>'ES CT Gas Table A'!L23</f>
        <v>733132.61648411001</v>
      </c>
      <c r="O22" s="292">
        <f>'ES CT Gas Table A'!N23</f>
        <v>733132.61648411001</v>
      </c>
      <c r="P22" s="292">
        <f>'ES CT Gas Table A'!O23</f>
        <v>733132.61648411001</v>
      </c>
    </row>
    <row r="23" spans="1:16" s="13" customFormat="1" ht="21.75" customHeight="1" thickBot="1" x14ac:dyDescent="0.3">
      <c r="A23" s="12"/>
      <c r="B23" s="37"/>
      <c r="C23" s="184" t="s">
        <v>214</v>
      </c>
      <c r="D23" s="294">
        <f>SUM(D19:D22)</f>
        <v>2540007.7600000002</v>
      </c>
      <c r="E23" s="294">
        <f t="shared" ref="E23:O23" si="1">SUM(E19:E22)</f>
        <v>5606084</v>
      </c>
      <c r="F23" s="294">
        <f t="shared" si="1"/>
        <v>4850839</v>
      </c>
      <c r="G23" s="294">
        <f t="shared" si="1"/>
        <v>7276037</v>
      </c>
      <c r="H23" s="294">
        <f t="shared" si="1"/>
        <v>6561147.54</v>
      </c>
      <c r="I23" s="294">
        <f t="shared" si="1"/>
        <v>6745693</v>
      </c>
      <c r="J23" s="294">
        <f t="shared" si="1"/>
        <v>7607608</v>
      </c>
      <c r="K23" s="294">
        <f t="shared" si="1"/>
        <v>7659291</v>
      </c>
      <c r="L23" s="294">
        <f t="shared" si="1"/>
        <v>5165700</v>
      </c>
      <c r="M23" s="294">
        <f t="shared" si="1"/>
        <v>6202896.4821190303</v>
      </c>
      <c r="N23" s="294">
        <f t="shared" ref="N23" si="2">SUM(N19:N22)</f>
        <v>9427111.9721190296</v>
      </c>
      <c r="O23" s="294">
        <f t="shared" si="1"/>
        <v>9429312.9721190296</v>
      </c>
      <c r="P23" s="294">
        <f t="shared" ref="P23" si="3">SUM(P19:P22)</f>
        <v>9429312.9721190296</v>
      </c>
    </row>
    <row r="24" spans="1:16" s="13" customFormat="1" ht="18.75" thickBot="1" x14ac:dyDescent="0.3">
      <c r="A24" s="12"/>
      <c r="B24" s="37"/>
      <c r="C24" s="540" t="s">
        <v>200</v>
      </c>
      <c r="D24" s="540"/>
      <c r="E24" s="540"/>
      <c r="F24" s="540"/>
      <c r="G24" s="540"/>
      <c r="H24" s="540"/>
      <c r="I24" s="540"/>
      <c r="J24" s="540"/>
      <c r="K24" s="540"/>
      <c r="L24" s="540"/>
      <c r="M24" s="540"/>
      <c r="N24" s="540"/>
      <c r="O24" s="540"/>
    </row>
    <row r="25" spans="1:16" s="13" customFormat="1" ht="21" customHeight="1" thickBot="1" x14ac:dyDescent="0.3">
      <c r="A25" s="481" t="s">
        <v>49</v>
      </c>
      <c r="B25" s="37"/>
      <c r="C25" s="480" t="s">
        <v>315</v>
      </c>
      <c r="D25" s="296">
        <v>0</v>
      </c>
      <c r="E25" s="297">
        <v>0</v>
      </c>
      <c r="F25" s="297">
        <v>0</v>
      </c>
      <c r="G25" s="297">
        <v>50119</v>
      </c>
      <c r="H25" s="297">
        <v>26077.330000000009</v>
      </c>
      <c r="I25" s="297">
        <v>41953</v>
      </c>
      <c r="J25" s="297">
        <v>27256</v>
      </c>
      <c r="K25" s="297">
        <v>33239.26</v>
      </c>
      <c r="L25" s="297">
        <f>'ES CT Gas Table A'!F26</f>
        <v>31386.33</v>
      </c>
      <c r="M25" s="297">
        <f>'ES CT Gas Table A'!I26</f>
        <v>76666.67</v>
      </c>
      <c r="N25" s="297">
        <f>'ES CT Gas Table A'!L26</f>
        <v>76666.67</v>
      </c>
      <c r="O25" s="297">
        <f>'ES CT Gas Table A'!N26</f>
        <v>76666.67</v>
      </c>
      <c r="P25" s="297">
        <f>'ES CT Gas Table A'!O26</f>
        <v>76666.67</v>
      </c>
    </row>
    <row r="26" spans="1:16" s="13" customFormat="1" ht="21" customHeight="1" thickBot="1" x14ac:dyDescent="0.3">
      <c r="A26" s="482" t="s">
        <v>125</v>
      </c>
      <c r="B26" s="37"/>
      <c r="C26" s="480" t="s">
        <v>316</v>
      </c>
      <c r="D26" s="296">
        <v>0</v>
      </c>
      <c r="E26" s="297">
        <v>0</v>
      </c>
      <c r="F26" s="297">
        <v>0</v>
      </c>
      <c r="G26" s="297">
        <v>26313</v>
      </c>
      <c r="H26" s="297">
        <v>18686.149999999994</v>
      </c>
      <c r="I26" s="297">
        <v>9314</v>
      </c>
      <c r="J26" s="297">
        <v>5699</v>
      </c>
      <c r="K26" s="292">
        <v>42041.46</v>
      </c>
      <c r="L26" s="297">
        <f>'ES CT Gas Table A'!F27</f>
        <v>22485.49</v>
      </c>
      <c r="M26" s="297">
        <f>'ES CT Gas Table A'!I27</f>
        <v>82666.67</v>
      </c>
      <c r="N26" s="297">
        <f>'ES CT Gas Table A'!L27</f>
        <v>82666.67</v>
      </c>
      <c r="O26" s="297">
        <f>'ES CT Gas Table A'!N27</f>
        <v>82666.67</v>
      </c>
      <c r="P26" s="297">
        <f>'ES CT Gas Table A'!O27</f>
        <v>82666.67</v>
      </c>
    </row>
    <row r="27" spans="1:16" s="13" customFormat="1" ht="18.75" thickBot="1" x14ac:dyDescent="0.3">
      <c r="A27" s="482" t="s">
        <v>125</v>
      </c>
      <c r="B27" s="37"/>
      <c r="C27" s="480" t="s">
        <v>317</v>
      </c>
      <c r="D27" s="296">
        <v>0</v>
      </c>
      <c r="E27" s="297">
        <v>0</v>
      </c>
      <c r="F27" s="297">
        <v>0</v>
      </c>
      <c r="G27" s="297">
        <v>214403</v>
      </c>
      <c r="H27" s="297">
        <v>145068.8299999999</v>
      </c>
      <c r="I27" s="297">
        <v>62878</v>
      </c>
      <c r="J27" s="297">
        <v>63267</v>
      </c>
      <c r="K27" s="297">
        <v>34537.370000000003</v>
      </c>
      <c r="L27" s="297">
        <f>'ES CT Gas Table A'!F28</f>
        <v>36300</v>
      </c>
      <c r="M27" s="297">
        <f>'ES CT Gas Table A'!I28</f>
        <v>80000</v>
      </c>
      <c r="N27" s="297">
        <f>'ES CT Gas Table A'!L28</f>
        <v>80000</v>
      </c>
      <c r="O27" s="297">
        <f>'ES CT Gas Table A'!N28</f>
        <v>80000</v>
      </c>
      <c r="P27" s="297">
        <f>'ES CT Gas Table A'!O28</f>
        <v>80000</v>
      </c>
    </row>
    <row r="28" spans="1:16" s="13" customFormat="1" ht="18.75" thickBot="1" x14ac:dyDescent="0.3">
      <c r="A28" s="481" t="s">
        <v>49</v>
      </c>
      <c r="B28" s="37"/>
      <c r="C28" s="480" t="s">
        <v>318</v>
      </c>
      <c r="D28" s="292">
        <v>0</v>
      </c>
      <c r="E28" s="292">
        <v>284008</v>
      </c>
      <c r="F28" s="292">
        <v>282000</v>
      </c>
      <c r="G28" s="292">
        <v>229036</v>
      </c>
      <c r="H28" s="292">
        <v>231941.99999999988</v>
      </c>
      <c r="I28" s="292">
        <v>193660</v>
      </c>
      <c r="J28" s="292">
        <v>201756</v>
      </c>
      <c r="K28" s="292">
        <v>197010.46</v>
      </c>
      <c r="L28" s="292">
        <f>'ES CT Gas Table A'!F29</f>
        <v>137851</v>
      </c>
      <c r="M28" s="292">
        <f>'ES CT Gas Table A'!I29</f>
        <v>70000</v>
      </c>
      <c r="N28" s="292">
        <f>'ES CT Gas Table A'!L29</f>
        <v>70000</v>
      </c>
      <c r="O28" s="292">
        <f>'ES CT Gas Table A'!N29</f>
        <v>70000</v>
      </c>
      <c r="P28" s="292">
        <f>'ES CT Gas Table A'!O29</f>
        <v>70000</v>
      </c>
    </row>
    <row r="29" spans="1:16" s="13" customFormat="1" ht="21" customHeight="1" thickBot="1" x14ac:dyDescent="0.3">
      <c r="A29" s="482" t="s">
        <v>125</v>
      </c>
      <c r="B29" s="37"/>
      <c r="C29" s="177" t="s">
        <v>129</v>
      </c>
      <c r="D29" s="292">
        <v>0</v>
      </c>
      <c r="E29" s="292">
        <v>165067</v>
      </c>
      <c r="F29" s="292">
        <v>83670</v>
      </c>
      <c r="G29" s="292">
        <v>0</v>
      </c>
      <c r="H29" s="292">
        <v>0</v>
      </c>
      <c r="I29" s="292">
        <v>0</v>
      </c>
      <c r="J29" s="292">
        <v>0</v>
      </c>
      <c r="K29" s="292">
        <v>0</v>
      </c>
      <c r="L29" s="292">
        <v>0</v>
      </c>
      <c r="M29" s="292">
        <v>0</v>
      </c>
      <c r="N29" s="292">
        <v>0</v>
      </c>
      <c r="O29" s="292">
        <v>0</v>
      </c>
      <c r="P29" s="292">
        <v>0</v>
      </c>
    </row>
    <row r="30" spans="1:16" s="13" customFormat="1" ht="21" customHeight="1" thickBot="1" x14ac:dyDescent="0.3">
      <c r="A30" s="482" t="s">
        <v>125</v>
      </c>
      <c r="B30" s="37"/>
      <c r="C30" s="177" t="s">
        <v>231</v>
      </c>
      <c r="D30" s="292">
        <v>0</v>
      </c>
      <c r="E30" s="292">
        <v>49106</v>
      </c>
      <c r="F30" s="292">
        <v>184917</v>
      </c>
      <c r="G30" s="292">
        <v>0</v>
      </c>
      <c r="H30" s="292">
        <v>0</v>
      </c>
      <c r="I30" s="292">
        <v>0</v>
      </c>
      <c r="J30" s="292">
        <v>0</v>
      </c>
      <c r="K30" s="292">
        <v>0</v>
      </c>
      <c r="L30" s="292">
        <v>0</v>
      </c>
      <c r="M30" s="292">
        <v>0</v>
      </c>
      <c r="N30" s="292">
        <v>0</v>
      </c>
      <c r="O30" s="292">
        <v>0</v>
      </c>
      <c r="P30" s="292">
        <v>0</v>
      </c>
    </row>
    <row r="31" spans="1:16" s="13" customFormat="1" ht="21" customHeight="1" thickBot="1" x14ac:dyDescent="0.3">
      <c r="A31" s="481" t="s">
        <v>49</v>
      </c>
      <c r="B31" s="37"/>
      <c r="C31" s="177" t="s">
        <v>238</v>
      </c>
      <c r="D31" s="292">
        <v>0</v>
      </c>
      <c r="E31" s="292">
        <v>8790</v>
      </c>
      <c r="F31" s="292">
        <v>96470</v>
      </c>
      <c r="G31" s="292">
        <v>0</v>
      </c>
      <c r="H31" s="292">
        <v>0</v>
      </c>
      <c r="I31" s="292">
        <v>0</v>
      </c>
      <c r="J31" s="292">
        <v>0</v>
      </c>
      <c r="K31" s="292">
        <v>0</v>
      </c>
      <c r="L31" s="292">
        <v>0</v>
      </c>
      <c r="M31" s="292">
        <v>0</v>
      </c>
      <c r="N31" s="292">
        <v>0</v>
      </c>
      <c r="O31" s="292">
        <v>0</v>
      </c>
      <c r="P31" s="292">
        <v>0</v>
      </c>
    </row>
    <row r="32" spans="1:16" s="13" customFormat="1" ht="18.75" thickBot="1" x14ac:dyDescent="0.3">
      <c r="A32" s="12"/>
      <c r="B32" s="37"/>
      <c r="C32" s="184" t="s">
        <v>215</v>
      </c>
      <c r="D32" s="294">
        <f>SUM(D25:D31)</f>
        <v>0</v>
      </c>
      <c r="E32" s="294">
        <f t="shared" ref="E32:L32" si="4">SUM(E25:E31)</f>
        <v>506971</v>
      </c>
      <c r="F32" s="294">
        <f t="shared" si="4"/>
        <v>647057</v>
      </c>
      <c r="G32" s="294">
        <f t="shared" si="4"/>
        <v>519871</v>
      </c>
      <c r="H32" s="294">
        <f t="shared" si="4"/>
        <v>421774.30999999982</v>
      </c>
      <c r="I32" s="294">
        <f t="shared" si="4"/>
        <v>307805</v>
      </c>
      <c r="J32" s="294">
        <f t="shared" si="4"/>
        <v>297978</v>
      </c>
      <c r="K32" s="294">
        <f t="shared" si="4"/>
        <v>306828.55</v>
      </c>
      <c r="L32" s="294">
        <f t="shared" si="4"/>
        <v>228022.82</v>
      </c>
      <c r="M32" s="294">
        <f t="shared" ref="M32" si="5">SUM(M25:M31)</f>
        <v>309333.33999999997</v>
      </c>
      <c r="N32" s="294">
        <f t="shared" ref="N32" si="6">SUM(N25:N31)</f>
        <v>309333.33999999997</v>
      </c>
      <c r="O32" s="294">
        <f t="shared" ref="O32" si="7">SUM(O25:O31)</f>
        <v>309333.33999999997</v>
      </c>
      <c r="P32" s="294">
        <f t="shared" ref="P32" si="8">SUM(P25:P31)</f>
        <v>309333.33999999997</v>
      </c>
    </row>
    <row r="33" spans="1:16" ht="24" customHeight="1" thickBot="1" x14ac:dyDescent="0.3">
      <c r="A33" s="6"/>
      <c r="B33" s="6"/>
      <c r="C33" s="540" t="s">
        <v>3</v>
      </c>
      <c r="D33" s="540"/>
      <c r="E33" s="540"/>
      <c r="F33" s="540"/>
      <c r="G33" s="540"/>
      <c r="H33" s="540"/>
      <c r="I33" s="540"/>
      <c r="J33" s="540"/>
      <c r="K33" s="540"/>
      <c r="L33" s="540"/>
      <c r="M33" s="540"/>
      <c r="N33" s="540"/>
      <c r="O33" s="540"/>
      <c r="P33" s="1"/>
    </row>
    <row r="34" spans="1:16" s="2" customFormat="1" ht="36.75" thickBot="1" x14ac:dyDescent="0.3">
      <c r="A34" s="14" t="s">
        <v>0</v>
      </c>
      <c r="B34" s="6"/>
      <c r="C34" s="419" t="s">
        <v>254</v>
      </c>
      <c r="D34" s="296">
        <v>70112.08</v>
      </c>
      <c r="E34" s="296">
        <v>69591</v>
      </c>
      <c r="F34" s="296">
        <v>69012</v>
      </c>
      <c r="G34" s="296">
        <v>174448</v>
      </c>
      <c r="H34" s="296">
        <v>84549.96</v>
      </c>
      <c r="I34" s="296">
        <v>84550</v>
      </c>
      <c r="J34" s="296">
        <v>80075</v>
      </c>
      <c r="K34" s="296">
        <v>99172</v>
      </c>
      <c r="L34" s="296">
        <f>'ES CT Gas Table A'!F32</f>
        <v>77705</v>
      </c>
      <c r="M34" s="296">
        <f>'ES CT Gas Table A'!I32</f>
        <v>84522.893307485996</v>
      </c>
      <c r="N34" s="296">
        <f>'ES CT Gas Table A'!L32</f>
        <v>84522.893307485996</v>
      </c>
      <c r="O34" s="296">
        <f>'ES CT Gas Table A'!N32</f>
        <v>84522.893307485952</v>
      </c>
      <c r="P34" s="296">
        <f>'ES CT Gas Table A'!O32</f>
        <v>84522.893307485952</v>
      </c>
    </row>
    <row r="35" spans="1:16" s="2" customFormat="1" ht="26.25" customHeight="1" thickBot="1" x14ac:dyDescent="0.3">
      <c r="A35" s="10" t="s">
        <v>2</v>
      </c>
      <c r="B35" s="6"/>
      <c r="C35" s="270" t="s">
        <v>319</v>
      </c>
      <c r="D35" s="296">
        <v>0</v>
      </c>
      <c r="E35" s="296">
        <v>0</v>
      </c>
      <c r="F35" s="296">
        <v>0</v>
      </c>
      <c r="G35" s="296">
        <v>12879</v>
      </c>
      <c r="H35" s="296">
        <v>1.3322676295501878E-13</v>
      </c>
      <c r="I35" s="296">
        <v>0</v>
      </c>
      <c r="J35" s="296">
        <v>10944</v>
      </c>
      <c r="K35" s="296">
        <v>0</v>
      </c>
      <c r="L35" s="296">
        <f>'ES CT Gas Table A'!F33</f>
        <v>2427</v>
      </c>
      <c r="M35" s="296">
        <f>'ES CT Gas Table A'!I33</f>
        <v>93905.470565267999</v>
      </c>
      <c r="N35" s="296">
        <f>'ES CT Gas Table A'!L33</f>
        <v>93905.470565267999</v>
      </c>
      <c r="O35" s="296">
        <f>'ES CT Gas Table A'!N33</f>
        <v>93905.470565267999</v>
      </c>
      <c r="P35" s="296">
        <f>'ES CT Gas Table A'!O33</f>
        <v>93905.470565267999</v>
      </c>
    </row>
    <row r="36" spans="1:16" s="13" customFormat="1" ht="21.75" customHeight="1" thickBot="1" x14ac:dyDescent="0.3">
      <c r="A36" s="39" t="s">
        <v>4</v>
      </c>
      <c r="B36" s="38"/>
      <c r="C36" s="186" t="s">
        <v>132</v>
      </c>
      <c r="D36" s="179">
        <v>0</v>
      </c>
      <c r="E36" s="179">
        <v>0</v>
      </c>
      <c r="F36" s="179">
        <v>19154</v>
      </c>
      <c r="G36" s="179">
        <v>20487</v>
      </c>
      <c r="H36" s="179">
        <v>18501.21</v>
      </c>
      <c r="I36" s="179">
        <v>34459</v>
      </c>
      <c r="J36" s="179">
        <v>15367</v>
      </c>
      <c r="K36" s="179">
        <v>15680</v>
      </c>
      <c r="L36" s="179">
        <f>'ES CT Gas Table A'!F34</f>
        <v>4795</v>
      </c>
      <c r="M36" s="179">
        <f>'ES CT Gas Table A'!I34</f>
        <v>50000.100660389297</v>
      </c>
      <c r="N36" s="179">
        <f>'ES CT Gas Table A'!L34</f>
        <v>50000.100660389297</v>
      </c>
      <c r="O36" s="179">
        <f>'ES CT Gas Table A'!N34</f>
        <v>50000.100660389304</v>
      </c>
      <c r="P36" s="179">
        <f>'ES CT Gas Table A'!O34</f>
        <v>50000.100660389304</v>
      </c>
    </row>
    <row r="37" spans="1:16" ht="39" customHeight="1" thickBot="1" x14ac:dyDescent="0.3">
      <c r="A37" s="482" t="s">
        <v>125</v>
      </c>
      <c r="B37" s="6"/>
      <c r="C37" s="295" t="s">
        <v>232</v>
      </c>
      <c r="D37" s="296">
        <v>0</v>
      </c>
      <c r="E37" s="296">
        <v>37333</v>
      </c>
      <c r="F37" s="296">
        <v>41333</v>
      </c>
      <c r="G37" s="296">
        <v>0</v>
      </c>
      <c r="H37" s="296">
        <v>0</v>
      </c>
      <c r="I37" s="296">
        <v>0</v>
      </c>
      <c r="J37" s="296">
        <v>0</v>
      </c>
      <c r="K37" s="296">
        <v>0</v>
      </c>
      <c r="L37" s="296">
        <v>0</v>
      </c>
      <c r="M37" s="296">
        <v>0</v>
      </c>
      <c r="N37" s="296">
        <v>0</v>
      </c>
      <c r="O37" s="296">
        <v>0</v>
      </c>
      <c r="P37" s="296">
        <v>0</v>
      </c>
    </row>
    <row r="38" spans="1:16" ht="24" customHeight="1" thickBot="1" x14ac:dyDescent="0.3">
      <c r="A38" s="10" t="s">
        <v>2</v>
      </c>
      <c r="B38" s="6"/>
      <c r="C38" s="177" t="s">
        <v>130</v>
      </c>
      <c r="D38" s="296">
        <v>0</v>
      </c>
      <c r="E38" s="296">
        <v>34825</v>
      </c>
      <c r="F38" s="296">
        <v>25857</v>
      </c>
      <c r="G38" s="296">
        <v>0</v>
      </c>
      <c r="H38" s="296">
        <v>0</v>
      </c>
      <c r="I38" s="296">
        <v>0</v>
      </c>
      <c r="J38" s="296">
        <v>0</v>
      </c>
      <c r="K38" s="296">
        <v>0</v>
      </c>
      <c r="L38" s="296">
        <v>0</v>
      </c>
      <c r="M38" s="296">
        <v>0</v>
      </c>
      <c r="N38" s="296">
        <v>0</v>
      </c>
      <c r="O38" s="296">
        <v>0</v>
      </c>
      <c r="P38" s="296">
        <v>0</v>
      </c>
    </row>
    <row r="39" spans="1:16" s="2" customFormat="1" ht="21.75" customHeight="1" thickBot="1" x14ac:dyDescent="0.3">
      <c r="A39" s="10" t="s">
        <v>2</v>
      </c>
      <c r="B39" s="6"/>
      <c r="C39" s="270" t="s">
        <v>131</v>
      </c>
      <c r="D39" s="296">
        <v>294.08</v>
      </c>
      <c r="E39" s="296">
        <v>0</v>
      </c>
      <c r="F39" s="296">
        <v>13542</v>
      </c>
      <c r="G39" s="296">
        <v>0</v>
      </c>
      <c r="H39" s="296">
        <v>0</v>
      </c>
      <c r="I39" s="296">
        <v>0</v>
      </c>
      <c r="J39" s="296">
        <v>0</v>
      </c>
      <c r="K39" s="296">
        <v>0</v>
      </c>
      <c r="L39" s="296">
        <v>0</v>
      </c>
      <c r="M39" s="296">
        <v>0</v>
      </c>
      <c r="N39" s="296">
        <v>0</v>
      </c>
      <c r="O39" s="296">
        <v>0</v>
      </c>
      <c r="P39" s="296">
        <v>0</v>
      </c>
    </row>
    <row r="40" spans="1:16" s="2" customFormat="1" ht="19.5" customHeight="1" thickBot="1" x14ac:dyDescent="0.3">
      <c r="A40" s="14" t="s">
        <v>0</v>
      </c>
      <c r="B40" s="6"/>
      <c r="C40" s="270" t="s">
        <v>144</v>
      </c>
      <c r="D40" s="296">
        <v>0</v>
      </c>
      <c r="E40" s="296">
        <v>0</v>
      </c>
      <c r="F40" s="296">
        <v>27042</v>
      </c>
      <c r="G40" s="296">
        <v>0</v>
      </c>
      <c r="H40" s="296">
        <v>0</v>
      </c>
      <c r="I40" s="296">
        <v>0</v>
      </c>
      <c r="J40" s="296">
        <v>0</v>
      </c>
      <c r="K40" s="296">
        <v>0</v>
      </c>
      <c r="L40" s="296">
        <v>0</v>
      </c>
      <c r="M40" s="296">
        <v>0</v>
      </c>
      <c r="N40" s="296">
        <v>0</v>
      </c>
      <c r="O40" s="296">
        <v>0</v>
      </c>
      <c r="P40" s="296">
        <v>0</v>
      </c>
    </row>
    <row r="41" spans="1:16" s="13" customFormat="1" ht="25.5" customHeight="1" thickBot="1" x14ac:dyDescent="0.3">
      <c r="A41" s="12"/>
      <c r="B41" s="37"/>
      <c r="C41" s="184" t="s">
        <v>226</v>
      </c>
      <c r="D41" s="294">
        <f t="shared" ref="D41:I41" si="9">SUM(D34:D40)</f>
        <v>70406.16</v>
      </c>
      <c r="E41" s="294">
        <f t="shared" si="9"/>
        <v>141749</v>
      </c>
      <c r="F41" s="294">
        <f>SUM(F34:F40)</f>
        <v>195940</v>
      </c>
      <c r="G41" s="294">
        <f t="shared" si="9"/>
        <v>207814</v>
      </c>
      <c r="H41" s="294">
        <f t="shared" si="9"/>
        <v>103051.17000000001</v>
      </c>
      <c r="I41" s="294">
        <f t="shared" si="9"/>
        <v>119009</v>
      </c>
      <c r="J41" s="294">
        <f t="shared" ref="J41:O41" si="10">SUM(J34:J40)</f>
        <v>106386</v>
      </c>
      <c r="K41" s="294">
        <f t="shared" si="10"/>
        <v>114852</v>
      </c>
      <c r="L41" s="294">
        <f t="shared" si="10"/>
        <v>84927</v>
      </c>
      <c r="M41" s="294">
        <f t="shared" si="10"/>
        <v>228428.46453314327</v>
      </c>
      <c r="N41" s="294">
        <f t="shared" si="10"/>
        <v>228428.46453314327</v>
      </c>
      <c r="O41" s="294">
        <f t="shared" si="10"/>
        <v>228428.46453314327</v>
      </c>
      <c r="P41" s="294">
        <f t="shared" ref="P41" si="11">SUM(P34:P40)</f>
        <v>228428.46453314327</v>
      </c>
    </row>
    <row r="42" spans="1:16" s="11" customFormat="1" ht="18.75" thickBot="1" x14ac:dyDescent="0.3">
      <c r="A42" s="8"/>
      <c r="B42" s="6"/>
      <c r="C42" s="540" t="s">
        <v>12</v>
      </c>
      <c r="D42" s="540"/>
      <c r="E42" s="540"/>
      <c r="F42" s="540"/>
      <c r="G42" s="540"/>
      <c r="H42" s="540"/>
      <c r="I42" s="540"/>
      <c r="J42" s="540"/>
      <c r="K42" s="540"/>
      <c r="L42" s="540"/>
      <c r="M42" s="540"/>
      <c r="N42" s="540"/>
      <c r="O42" s="540"/>
    </row>
    <row r="43" spans="1:16" s="11" customFormat="1" ht="21" customHeight="1" thickBot="1" x14ac:dyDescent="0.3">
      <c r="A43" s="39" t="s">
        <v>4</v>
      </c>
      <c r="B43" s="38"/>
      <c r="C43" s="298" t="s">
        <v>13</v>
      </c>
      <c r="D43" s="299">
        <v>51486.060000000005</v>
      </c>
      <c r="E43" s="300">
        <v>94752.2</v>
      </c>
      <c r="F43" s="300">
        <v>119373.58</v>
      </c>
      <c r="G43" s="300">
        <v>37022.51</v>
      </c>
      <c r="H43" s="300">
        <v>52134.349999999962</v>
      </c>
      <c r="I43" s="300">
        <v>133366</v>
      </c>
      <c r="J43" s="300">
        <v>92906</v>
      </c>
      <c r="K43" s="300">
        <v>121815</v>
      </c>
      <c r="L43" s="300">
        <f>'ES CT Gas Table A'!F37</f>
        <v>81568</v>
      </c>
      <c r="M43" s="300">
        <f>'ES CT Gas Table A'!I37</f>
        <v>150932.81669718699</v>
      </c>
      <c r="N43" s="300">
        <f>'ES CT Gas Table A'!L37</f>
        <v>150932.81669718699</v>
      </c>
      <c r="O43" s="300">
        <f>'ES CT Gas Table A'!N37</f>
        <v>150932.81669718699</v>
      </c>
      <c r="P43" s="300">
        <f>'ES CT Gas Table A'!O37</f>
        <v>150932.81669718699</v>
      </c>
    </row>
    <row r="44" spans="1:16" s="11" customFormat="1" ht="24" customHeight="1" thickBot="1" x14ac:dyDescent="0.3">
      <c r="A44" s="481" t="s">
        <v>49</v>
      </c>
      <c r="B44" s="6"/>
      <c r="C44" s="298" t="s">
        <v>14</v>
      </c>
      <c r="D44" s="299">
        <v>8.08</v>
      </c>
      <c r="E44" s="300">
        <v>65930.44</v>
      </c>
      <c r="F44" s="300">
        <v>100282.69</v>
      </c>
      <c r="G44" s="300">
        <v>95028</v>
      </c>
      <c r="H44" s="300">
        <v>37910.789999999986</v>
      </c>
      <c r="I44" s="300">
        <v>22597</v>
      </c>
      <c r="J44" s="300">
        <v>14890</v>
      </c>
      <c r="K44" s="300">
        <v>35467</v>
      </c>
      <c r="L44" s="300">
        <f>'ES CT Gas Table A'!F38</f>
        <v>58999</v>
      </c>
      <c r="M44" s="300">
        <f>'ES CT Gas Table A'!I38</f>
        <v>40100.498656621698</v>
      </c>
      <c r="N44" s="300">
        <f>'ES CT Gas Table A'!L38</f>
        <v>40100.498656621698</v>
      </c>
      <c r="O44" s="300">
        <f>'ES CT Gas Table A'!N38</f>
        <v>40100.498656621698</v>
      </c>
      <c r="P44" s="300">
        <f>'ES CT Gas Table A'!O38</f>
        <v>40100.498656621698</v>
      </c>
    </row>
    <row r="45" spans="1:16" s="11" customFormat="1" ht="21.75" customHeight="1" thickBot="1" x14ac:dyDescent="0.3">
      <c r="A45" s="6" t="s">
        <v>4</v>
      </c>
      <c r="B45" s="6"/>
      <c r="C45" s="298" t="s">
        <v>16</v>
      </c>
      <c r="D45" s="299">
        <v>103533.47</v>
      </c>
      <c r="E45" s="300">
        <v>147774</v>
      </c>
      <c r="F45" s="300">
        <v>111082</v>
      </c>
      <c r="G45" s="300">
        <v>94233.78</v>
      </c>
      <c r="H45" s="300">
        <v>61480.79000000003</v>
      </c>
      <c r="I45" s="300">
        <v>123125</v>
      </c>
      <c r="J45" s="300">
        <v>137312</v>
      </c>
      <c r="K45" s="300">
        <v>136377</v>
      </c>
      <c r="L45" s="300">
        <f>'ES CT Gas Table A'!F39</f>
        <v>88185</v>
      </c>
      <c r="M45" s="300">
        <f>'ES CT Gas Table A'!I39</f>
        <v>79158.301981167999</v>
      </c>
      <c r="N45" s="300">
        <f>'ES CT Gas Table A'!L39</f>
        <v>79158.301981167999</v>
      </c>
      <c r="O45" s="300">
        <f>'ES CT Gas Table A'!N39</f>
        <v>79158.301981167999</v>
      </c>
      <c r="P45" s="300">
        <f>'ES CT Gas Table A'!O39</f>
        <v>79158.301981167999</v>
      </c>
    </row>
    <row r="46" spans="1:16" s="11" customFormat="1" ht="25.5" customHeight="1" thickBot="1" x14ac:dyDescent="0.3">
      <c r="A46" s="6" t="s">
        <v>4</v>
      </c>
      <c r="B46" s="6"/>
      <c r="C46" s="301" t="s">
        <v>150</v>
      </c>
      <c r="D46" s="299">
        <v>-17049.11000000003</v>
      </c>
      <c r="E46" s="300">
        <v>169462</v>
      </c>
      <c r="F46" s="300">
        <v>181443.34</v>
      </c>
      <c r="G46" s="300">
        <v>120010</v>
      </c>
      <c r="H46" s="300">
        <v>199999.99999999994</v>
      </c>
      <c r="I46" s="300">
        <v>145595</v>
      </c>
      <c r="J46" s="300">
        <v>218102</v>
      </c>
      <c r="K46" s="300">
        <v>200000.29029161701</v>
      </c>
      <c r="L46" s="300">
        <f>'ES CT Gas Table A'!F40</f>
        <v>200000</v>
      </c>
      <c r="M46" s="300">
        <f>'ES CT Gas Table A'!I40</f>
        <v>300000</v>
      </c>
      <c r="N46" s="300">
        <f>'ES CT Gas Table A'!L40</f>
        <v>300000</v>
      </c>
      <c r="O46" s="300">
        <f>'ES CT Gas Table A'!N40</f>
        <v>300000</v>
      </c>
      <c r="P46" s="300">
        <f>'ES CT Gas Table A'!O40</f>
        <v>300000</v>
      </c>
    </row>
    <row r="47" spans="1:16" s="11" customFormat="1" ht="21" customHeight="1" thickBot="1" x14ac:dyDescent="0.3">
      <c r="A47" s="6"/>
      <c r="B47" s="6"/>
      <c r="C47" s="301" t="s">
        <v>147</v>
      </c>
      <c r="D47" s="299">
        <v>0</v>
      </c>
      <c r="E47" s="300">
        <v>34068</v>
      </c>
      <c r="F47" s="300">
        <v>31472.28</v>
      </c>
      <c r="G47" s="300">
        <v>39278</v>
      </c>
      <c r="H47" s="300">
        <v>27347.69000000001</v>
      </c>
      <c r="I47" s="300">
        <v>19902</v>
      </c>
      <c r="J47" s="300">
        <v>21008</v>
      </c>
      <c r="K47" s="300">
        <v>25797.72</v>
      </c>
      <c r="L47" s="300">
        <f>'ES CT Gas Table A'!F41</f>
        <v>28548</v>
      </c>
      <c r="M47" s="300">
        <f>'ES CT Gas Table A'!I41</f>
        <v>29607</v>
      </c>
      <c r="N47" s="300">
        <f>'ES CT Gas Table A'!L41</f>
        <v>29607</v>
      </c>
      <c r="O47" s="300">
        <f>'ES CT Gas Table A'!N41</f>
        <v>29607</v>
      </c>
      <c r="P47" s="300">
        <f>'ES CT Gas Table A'!O41</f>
        <v>29607</v>
      </c>
    </row>
    <row r="48" spans="1:16" s="11" customFormat="1" ht="23.25" customHeight="1" thickBot="1" x14ac:dyDescent="0.3">
      <c r="A48" s="6" t="s">
        <v>4</v>
      </c>
      <c r="B48" s="6"/>
      <c r="C48" s="298" t="s">
        <v>15</v>
      </c>
      <c r="D48" s="299">
        <v>51196.29</v>
      </c>
      <c r="E48" s="300">
        <v>72683</v>
      </c>
      <c r="F48" s="300">
        <v>126556.6</v>
      </c>
      <c r="G48" s="300">
        <v>191801</v>
      </c>
      <c r="H48" s="300">
        <v>68303.780000000028</v>
      </c>
      <c r="I48" s="300">
        <v>148381</v>
      </c>
      <c r="J48" s="300">
        <v>143627</v>
      </c>
      <c r="K48" s="300">
        <v>122355.67</v>
      </c>
      <c r="L48" s="300">
        <f>'ES CT Gas Table A'!F42</f>
        <v>178639</v>
      </c>
      <c r="M48" s="300">
        <f>'ES CT Gas Table A'!I42</f>
        <v>140725.87018874299</v>
      </c>
      <c r="N48" s="300">
        <f>'ES CT Gas Table A'!L42</f>
        <v>140725.87018874299</v>
      </c>
      <c r="O48" s="300">
        <f>'ES CT Gas Table A'!N42</f>
        <v>140725.87018874279</v>
      </c>
      <c r="P48" s="300">
        <f>'ES CT Gas Table A'!O42</f>
        <v>140725.87018874279</v>
      </c>
    </row>
    <row r="49" spans="1:16" s="11" customFormat="1" ht="21.75" customHeight="1" thickBot="1" x14ac:dyDescent="0.3">
      <c r="A49" s="6" t="s">
        <v>4</v>
      </c>
      <c r="B49" s="6"/>
      <c r="C49" s="298" t="s">
        <v>148</v>
      </c>
      <c r="D49" s="299">
        <v>38923.919999999998</v>
      </c>
      <c r="E49" s="300">
        <v>77207</v>
      </c>
      <c r="F49" s="300">
        <v>75224.5</v>
      </c>
      <c r="G49" s="300">
        <v>70328</v>
      </c>
      <c r="H49" s="300">
        <v>47599.430000000008</v>
      </c>
      <c r="I49" s="300">
        <v>33163</v>
      </c>
      <c r="J49" s="300">
        <v>34965</v>
      </c>
      <c r="K49" s="300">
        <v>44501</v>
      </c>
      <c r="L49" s="300">
        <f>'ES CT Gas Table A'!F43</f>
        <v>41913</v>
      </c>
      <c r="M49" s="300">
        <f>'ES CT Gas Table A'!I43</f>
        <v>53333</v>
      </c>
      <c r="N49" s="300">
        <f>'ES CT Gas Table A'!L43</f>
        <v>53333</v>
      </c>
      <c r="O49" s="300">
        <f>'ES CT Gas Table A'!N43</f>
        <v>53333</v>
      </c>
      <c r="P49" s="300">
        <f>'ES CT Gas Table A'!O43</f>
        <v>53333</v>
      </c>
    </row>
    <row r="50" spans="1:16" s="11" customFormat="1" ht="21.75" customHeight="1" thickBot="1" x14ac:dyDescent="0.3">
      <c r="A50" s="6" t="s">
        <v>4</v>
      </c>
      <c r="B50" s="6"/>
      <c r="C50" s="298" t="s">
        <v>151</v>
      </c>
      <c r="D50" s="299">
        <v>0</v>
      </c>
      <c r="E50" s="300">
        <v>0</v>
      </c>
      <c r="F50" s="300">
        <v>0</v>
      </c>
      <c r="G50" s="300">
        <v>0</v>
      </c>
      <c r="H50" s="300">
        <v>5458.25</v>
      </c>
      <c r="I50" s="300">
        <v>10000</v>
      </c>
      <c r="J50" s="300">
        <v>10000</v>
      </c>
      <c r="K50" s="300">
        <v>10000</v>
      </c>
      <c r="L50" s="300">
        <f>'ES CT Gas Table A'!F44</f>
        <v>10000</v>
      </c>
      <c r="M50" s="300">
        <f>'ES CT Gas Table A'!I44</f>
        <v>10000</v>
      </c>
      <c r="N50" s="300">
        <f>'ES CT Gas Table A'!L44</f>
        <v>10000</v>
      </c>
      <c r="O50" s="300">
        <f>'ES CT Gas Table A'!N44</f>
        <v>10000</v>
      </c>
      <c r="P50" s="300">
        <f>'ES CT Gas Table A'!O44</f>
        <v>10000</v>
      </c>
    </row>
    <row r="51" spans="1:16" s="11" customFormat="1" ht="18.75" thickBot="1" x14ac:dyDescent="0.3">
      <c r="A51" s="38" t="s">
        <v>4</v>
      </c>
      <c r="B51" s="38"/>
      <c r="C51" s="298" t="s">
        <v>149</v>
      </c>
      <c r="D51" s="299">
        <v>605725</v>
      </c>
      <c r="E51" s="300">
        <v>920771</v>
      </c>
      <c r="F51" s="300">
        <v>942177</v>
      </c>
      <c r="G51" s="300">
        <v>587469</v>
      </c>
      <c r="H51" s="300">
        <v>1123213</v>
      </c>
      <c r="I51" s="300">
        <v>1088866</v>
      </c>
      <c r="J51" s="300">
        <v>1057175</v>
      </c>
      <c r="K51" s="300">
        <v>1277162</v>
      </c>
      <c r="L51" s="300">
        <f>'ES CT Gas Table A'!F45</f>
        <v>1347734</v>
      </c>
      <c r="M51" s="300">
        <f>'ES CT Gas Table A'!I45</f>
        <v>847047</v>
      </c>
      <c r="N51" s="300">
        <f>'ES CT Gas Table A'!L45</f>
        <v>1117877</v>
      </c>
      <c r="O51" s="300">
        <f>'ES CT Gas Table A'!N45</f>
        <v>1135532.2103375001</v>
      </c>
      <c r="P51" s="300">
        <f>'ES CT Gas Table A'!O45</f>
        <v>1139156.0622187501</v>
      </c>
    </row>
    <row r="52" spans="1:16" s="13" customFormat="1" ht="21" customHeight="1" thickBot="1" x14ac:dyDescent="0.3">
      <c r="A52" s="12"/>
      <c r="B52" s="37"/>
      <c r="C52" s="306" t="s">
        <v>217</v>
      </c>
      <c r="D52" s="302">
        <f t="shared" ref="D52:I52" si="12">SUM(D43:D51)</f>
        <v>833823.71</v>
      </c>
      <c r="E52" s="302">
        <f t="shared" si="12"/>
        <v>1582647.6400000001</v>
      </c>
      <c r="F52" s="302">
        <f t="shared" si="12"/>
        <v>1687611.99</v>
      </c>
      <c r="G52" s="302">
        <f t="shared" si="12"/>
        <v>1235170.29</v>
      </c>
      <c r="H52" s="302">
        <f t="shared" si="12"/>
        <v>1623448.08</v>
      </c>
      <c r="I52" s="302">
        <f t="shared" si="12"/>
        <v>1724995</v>
      </c>
      <c r="J52" s="302">
        <f t="shared" ref="J52:O52" si="13">SUM(J43:J51)</f>
        <v>1729985</v>
      </c>
      <c r="K52" s="302">
        <f t="shared" si="13"/>
        <v>1973475.6802916171</v>
      </c>
      <c r="L52" s="302">
        <f t="shared" si="13"/>
        <v>2035586</v>
      </c>
      <c r="M52" s="302">
        <f t="shared" si="13"/>
        <v>1650904.4875237197</v>
      </c>
      <c r="N52" s="302">
        <f t="shared" si="13"/>
        <v>1921734.4875237197</v>
      </c>
      <c r="O52" s="302">
        <f t="shared" si="13"/>
        <v>1939389.6978612195</v>
      </c>
      <c r="P52" s="302">
        <f t="shared" ref="P52" si="14">SUM(P43:P51)</f>
        <v>1943013.5497424696</v>
      </c>
    </row>
    <row r="53" spans="1:16" s="11" customFormat="1" ht="18.75" hidden="1" thickBot="1" x14ac:dyDescent="0.3">
      <c r="A53" s="8"/>
      <c r="B53" s="6"/>
      <c r="C53" s="306" t="s">
        <v>17</v>
      </c>
      <c r="D53" s="303"/>
      <c r="E53" s="303"/>
      <c r="F53" s="303"/>
      <c r="G53" s="303"/>
      <c r="H53" s="303"/>
      <c r="I53" s="303"/>
      <c r="J53" s="303"/>
      <c r="K53" s="303"/>
      <c r="L53" s="303"/>
      <c r="M53" s="303"/>
      <c r="N53" s="303"/>
      <c r="O53" s="303"/>
      <c r="P53" s="303"/>
    </row>
    <row r="54" spans="1:16" s="16" customFormat="1" ht="18.75" hidden="1" thickBot="1" x14ac:dyDescent="0.3">
      <c r="A54" s="15"/>
      <c r="B54" s="290"/>
      <c r="C54" s="307" t="s">
        <v>6</v>
      </c>
      <c r="D54" s="304">
        <f>D17+D29*0.8+D30*0.8+D31+D28*0.8+D34+D44*0.8</f>
        <v>5167802.9140000008</v>
      </c>
      <c r="E54" s="304">
        <f>E17+E29*0.8+E30*0.8+E31+E28*0.8+E34+E44*0.8</f>
        <v>11644696.152000001</v>
      </c>
      <c r="F54" s="304">
        <f>F17+F29*0.8+F30*0.8+F31+F28*0.8+F34+F44*0.8</f>
        <v>10057863.122</v>
      </c>
      <c r="G54" s="304">
        <f t="shared" ref="G54:O54" si="15">G17+G28*0.8+G25*0.8+G27*0.5+G26*0.5+G34+G44*0.8</f>
        <v>11016466.4</v>
      </c>
      <c r="H54" s="304">
        <f t="shared" si="15"/>
        <v>11379665.906000003</v>
      </c>
      <c r="I54" s="304">
        <f t="shared" si="15"/>
        <v>10595226</v>
      </c>
      <c r="J54" s="304">
        <f t="shared" si="15"/>
        <v>11030575.600000001</v>
      </c>
      <c r="K54" s="304">
        <f t="shared" si="15"/>
        <v>12610385.791000001</v>
      </c>
      <c r="L54" s="304">
        <f t="shared" si="15"/>
        <v>16243083.208999997</v>
      </c>
      <c r="M54" s="304">
        <f t="shared" si="15"/>
        <v>9804638.1829154491</v>
      </c>
      <c r="N54" s="304">
        <f t="shared" ref="N54" si="16">N17+N28*0.8+N25*0.8+N27*0.5+N26*0.5+N34+N44*0.8</f>
        <v>11997014.672915449</v>
      </c>
      <c r="O54" s="304">
        <f t="shared" si="15"/>
        <v>12347922.471492307</v>
      </c>
      <c r="P54" s="304">
        <f t="shared" ref="P54" si="17">P17+P28*0.8+P25*0.8+P27*0.5+P26*0.5+P34+P44*0.8</f>
        <v>12420396.196314415</v>
      </c>
    </row>
    <row r="55" spans="1:16" s="16" customFormat="1" ht="18.75" hidden="1" thickBot="1" x14ac:dyDescent="0.3">
      <c r="A55" s="15"/>
      <c r="B55" s="290"/>
      <c r="C55" s="307" t="s">
        <v>7</v>
      </c>
      <c r="D55" s="305">
        <f>D23+D29*0.2+D30*0.2+D28*0.2+D38+D40+D39+D44*0.2</f>
        <v>2540303.4560000002</v>
      </c>
      <c r="E55" s="305">
        <f>E23+E29*0.2+E30*0.2+E28*0.2+E38+E40+E39+E44*0.2</f>
        <v>5753731.2880000006</v>
      </c>
      <c r="F55" s="305">
        <f>F23+F29*0.2+F30*0.2+F28*0.2+F38+F40+F39+F44*0.2</f>
        <v>5047453.9380000001</v>
      </c>
      <c r="G55" s="305">
        <f t="shared" ref="G55:O55" si="18">G23+G28*0.2+G25*0.2+G27*0.5+G26*0.5+G38+G35+G44*0.2</f>
        <v>7484110.5999999996</v>
      </c>
      <c r="H55" s="305">
        <f t="shared" si="18"/>
        <v>6702211.0540000005</v>
      </c>
      <c r="I55" s="305">
        <f t="shared" si="18"/>
        <v>6833431</v>
      </c>
      <c r="J55" s="305">
        <f t="shared" si="18"/>
        <v>7701815.4000000004</v>
      </c>
      <c r="K55" s="305">
        <f t="shared" si="18"/>
        <v>7750723.7590000005</v>
      </c>
      <c r="L55" s="305">
        <f t="shared" si="18"/>
        <v>5243167.0109999999</v>
      </c>
      <c r="M55" s="305">
        <f t="shared" si="18"/>
        <v>6415488.7214156222</v>
      </c>
      <c r="N55" s="305">
        <f t="shared" ref="N55" si="19">N23+N28*0.2+N25*0.2+N27*0.5+N26*0.5+N38+N35+N44*0.2</f>
        <v>9639704.2114156242</v>
      </c>
      <c r="O55" s="305">
        <f t="shared" si="18"/>
        <v>9641905.2114156242</v>
      </c>
      <c r="P55" s="305">
        <f t="shared" ref="P55" si="20">P23+P28*0.2+P25*0.2+P27*0.5+P26*0.5+P38+P35+P44*0.2</f>
        <v>9641905.2114156242</v>
      </c>
    </row>
    <row r="56" spans="1:16" s="16" customFormat="1" ht="18.75" hidden="1" thickBot="1" x14ac:dyDescent="0.3">
      <c r="A56" s="8"/>
      <c r="B56" s="6"/>
      <c r="C56" s="307" t="s">
        <v>18</v>
      </c>
      <c r="D56" s="305">
        <f t="shared" ref="D56:I56" si="21">+D37+D36+D43+SUM(D45:D51)</f>
        <v>833815.63</v>
      </c>
      <c r="E56" s="305">
        <f t="shared" si="21"/>
        <v>1554050.2</v>
      </c>
      <c r="F56" s="305">
        <f t="shared" si="21"/>
        <v>1647816.3</v>
      </c>
      <c r="G56" s="305">
        <f t="shared" si="21"/>
        <v>1160629.29</v>
      </c>
      <c r="H56" s="305">
        <f t="shared" si="21"/>
        <v>1604038.5</v>
      </c>
      <c r="I56" s="305">
        <f t="shared" si="21"/>
        <v>1736857</v>
      </c>
      <c r="J56" s="305">
        <f t="shared" ref="J56:O56" si="22">+J37+J36+J43+SUM(J45:J51)</f>
        <v>1730462</v>
      </c>
      <c r="K56" s="305">
        <f t="shared" si="22"/>
        <v>1953688.6802916171</v>
      </c>
      <c r="L56" s="305">
        <f t="shared" si="22"/>
        <v>1981382</v>
      </c>
      <c r="M56" s="305">
        <f t="shared" si="22"/>
        <v>1660804.0895274873</v>
      </c>
      <c r="N56" s="305">
        <f t="shared" si="22"/>
        <v>1931634.0895274873</v>
      </c>
      <c r="O56" s="305">
        <f t="shared" si="22"/>
        <v>1949289.2998649871</v>
      </c>
      <c r="P56" s="305">
        <f t="shared" ref="P56" si="23">+P37+P36+P43+SUM(P45:P51)</f>
        <v>1952913.1517462372</v>
      </c>
    </row>
    <row r="57" spans="1:16" s="13" customFormat="1" ht="24" customHeight="1" thickBot="1" x14ac:dyDescent="0.3">
      <c r="A57" s="8"/>
      <c r="B57" s="6"/>
      <c r="C57" s="306" t="s">
        <v>19</v>
      </c>
      <c r="D57" s="302">
        <f t="shared" ref="D57:O57" si="24">SUM(D54:D56)</f>
        <v>8541922.0000000019</v>
      </c>
      <c r="E57" s="302">
        <f t="shared" si="24"/>
        <v>18952477.640000001</v>
      </c>
      <c r="F57" s="302">
        <f t="shared" si="24"/>
        <v>16753133.359999999</v>
      </c>
      <c r="G57" s="302">
        <f t="shared" si="24"/>
        <v>19661206.289999999</v>
      </c>
      <c r="H57" s="302">
        <f t="shared" si="24"/>
        <v>19685915.460000005</v>
      </c>
      <c r="I57" s="302">
        <f t="shared" si="24"/>
        <v>19165514</v>
      </c>
      <c r="J57" s="302">
        <f t="shared" si="24"/>
        <v>20462853</v>
      </c>
      <c r="K57" s="302">
        <f t="shared" si="24"/>
        <v>22314798.230291616</v>
      </c>
      <c r="L57" s="302">
        <f t="shared" si="24"/>
        <v>23467632.219999999</v>
      </c>
      <c r="M57" s="302">
        <f t="shared" si="24"/>
        <v>17880930.993858557</v>
      </c>
      <c r="N57" s="302">
        <f t="shared" ref="N57" si="25">SUM(N54:N56)</f>
        <v>23568352.973858561</v>
      </c>
      <c r="O57" s="302">
        <f t="shared" si="24"/>
        <v>23939116.98277292</v>
      </c>
      <c r="P57" s="302">
        <f t="shared" ref="P57" si="26">SUM(P54:P56)</f>
        <v>24015214.559476275</v>
      </c>
    </row>
    <row r="58" spans="1:16" x14ac:dyDescent="0.2">
      <c r="A58" s="12"/>
      <c r="B58" s="37"/>
      <c r="C58" s="75"/>
      <c r="D58" s="76"/>
      <c r="E58" s="76"/>
      <c r="F58" s="77"/>
      <c r="G58" s="77"/>
      <c r="H58" s="77"/>
      <c r="I58" s="77"/>
      <c r="J58" s="77"/>
      <c r="K58" s="1" t="s">
        <v>5</v>
      </c>
    </row>
    <row r="59" spans="1:16" x14ac:dyDescent="0.2">
      <c r="C59" s="100"/>
      <c r="D59" s="75"/>
    </row>
  </sheetData>
  <mergeCells count="9">
    <mergeCell ref="C33:O33"/>
    <mergeCell ref="C42:O42"/>
    <mergeCell ref="C10:O10"/>
    <mergeCell ref="C18:O18"/>
    <mergeCell ref="C2:O2"/>
    <mergeCell ref="C3:O3"/>
    <mergeCell ref="C4:O4"/>
    <mergeCell ref="C5:O5"/>
    <mergeCell ref="C24:O24"/>
  </mergeCells>
  <printOptions horizontalCentered="1" verticalCentered="1"/>
  <pageMargins left="0.25" right="0.5" top="0" bottom="0.68" header="0.22" footer="0.23"/>
  <pageSetup scale="42" orientation="landscape"/>
  <headerFooter alignWithMargins="0">
    <oddFooter xml:space="preserve">&amp;C
Totals may vary due to rounding&amp;R&amp;14
</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19">
    <tabColor rgb="FFFFC000"/>
    <pageSetUpPr fitToPage="1"/>
  </sheetPr>
  <dimension ref="A1:Q34"/>
  <sheetViews>
    <sheetView showGridLines="0" zoomScale="75" zoomScaleNormal="75" workbookViewId="0">
      <pane xSplit="3" ySplit="10" topLeftCell="D11" activePane="bottomRight" state="frozen"/>
      <selection activeCell="L14" sqref="L14"/>
      <selection pane="topRight" activeCell="L14" sqref="L14"/>
      <selection pane="bottomLeft" activeCell="L14" sqref="L14"/>
      <selection pane="bottomRight" activeCell="D1" sqref="D1:D1048576"/>
    </sheetView>
  </sheetViews>
  <sheetFormatPr defaultRowHeight="12.75" x14ac:dyDescent="0.2"/>
  <cols>
    <col min="1" max="1" width="4.5703125" style="1" hidden="1" customWidth="1"/>
    <col min="2" max="2" width="4.5703125" style="221" customWidth="1"/>
    <col min="3" max="3" width="54" style="1" bestFit="1" customWidth="1"/>
    <col min="4" max="4" width="20" style="1" hidden="1" customWidth="1"/>
    <col min="5" max="5" width="18" style="1" customWidth="1"/>
    <col min="6" max="6" width="19.7109375" style="1" customWidth="1"/>
    <col min="7" max="7" width="18.140625" style="1" customWidth="1"/>
    <col min="8" max="8" width="18.85546875" style="1" customWidth="1"/>
    <col min="9" max="11" width="19.7109375" style="1" customWidth="1"/>
    <col min="12" max="14" width="19.7109375" style="395" customWidth="1"/>
    <col min="15" max="15" width="19.7109375" style="1" customWidth="1"/>
    <col min="16" max="16" width="12.5703125" style="1" customWidth="1"/>
    <col min="17" max="17" width="13.7109375" style="1" customWidth="1"/>
    <col min="18" max="256" width="9.140625" style="1"/>
    <col min="257" max="257" width="4.5703125" style="1" customWidth="1"/>
    <col min="258" max="258" width="60.7109375" style="1" customWidth="1"/>
    <col min="259" max="259" width="23.85546875" style="1" customWidth="1"/>
    <col min="260" max="261" width="21.140625" style="1" customWidth="1"/>
    <col min="262" max="262" width="20.42578125" style="1" customWidth="1"/>
    <col min="263" max="263" width="21" style="1" customWidth="1"/>
    <col min="264" max="264" width="20.85546875" style="1" customWidth="1"/>
    <col min="265" max="265" width="20.7109375" style="1" customWidth="1"/>
    <col min="266" max="266" width="23.85546875" style="1" bestFit="1" customWidth="1"/>
    <col min="267" max="267" width="20.85546875" style="1" customWidth="1"/>
    <col min="268" max="268" width="20.7109375" style="1" customWidth="1"/>
    <col min="269" max="269" width="9.140625" style="1"/>
    <col min="270" max="270" width="23.140625" style="1" customWidth="1"/>
    <col min="271" max="271" width="9.140625" style="1"/>
    <col min="272" max="272" width="12.5703125" style="1" customWidth="1"/>
    <col min="273" max="512" width="9.140625" style="1"/>
    <col min="513" max="513" width="4.5703125" style="1" customWidth="1"/>
    <col min="514" max="514" width="60.7109375" style="1" customWidth="1"/>
    <col min="515" max="515" width="23.85546875" style="1" customWidth="1"/>
    <col min="516" max="517" width="21.140625" style="1" customWidth="1"/>
    <col min="518" max="518" width="20.42578125" style="1" customWidth="1"/>
    <col min="519" max="519" width="21" style="1" customWidth="1"/>
    <col min="520" max="520" width="20.85546875" style="1" customWidth="1"/>
    <col min="521" max="521" width="20.7109375" style="1" customWidth="1"/>
    <col min="522" max="522" width="23.85546875" style="1" bestFit="1" customWidth="1"/>
    <col min="523" max="523" width="20.85546875" style="1" customWidth="1"/>
    <col min="524" max="524" width="20.7109375" style="1" customWidth="1"/>
    <col min="525" max="525" width="9.140625" style="1"/>
    <col min="526" max="526" width="23.140625" style="1" customWidth="1"/>
    <col min="527" max="527" width="9.140625" style="1"/>
    <col min="528" max="528" width="12.5703125" style="1" customWidth="1"/>
    <col min="529" max="768" width="9.140625" style="1"/>
    <col min="769" max="769" width="4.5703125" style="1" customWidth="1"/>
    <col min="770" max="770" width="60.7109375" style="1" customWidth="1"/>
    <col min="771" max="771" width="23.85546875" style="1" customWidth="1"/>
    <col min="772" max="773" width="21.140625" style="1" customWidth="1"/>
    <col min="774" max="774" width="20.42578125" style="1" customWidth="1"/>
    <col min="775" max="775" width="21" style="1" customWidth="1"/>
    <col min="776" max="776" width="20.85546875" style="1" customWidth="1"/>
    <col min="777" max="777" width="20.7109375" style="1" customWidth="1"/>
    <col min="778" max="778" width="23.85546875" style="1" bestFit="1" customWidth="1"/>
    <col min="779" max="779" width="20.85546875" style="1" customWidth="1"/>
    <col min="780" max="780" width="20.7109375" style="1" customWidth="1"/>
    <col min="781" max="781" width="9.140625" style="1"/>
    <col min="782" max="782" width="23.140625" style="1" customWidth="1"/>
    <col min="783" max="783" width="9.140625" style="1"/>
    <col min="784" max="784" width="12.5703125" style="1" customWidth="1"/>
    <col min="785" max="1024" width="9.140625" style="1"/>
    <col min="1025" max="1025" width="4.5703125" style="1" customWidth="1"/>
    <col min="1026" max="1026" width="60.7109375" style="1" customWidth="1"/>
    <col min="1027" max="1027" width="23.85546875" style="1" customWidth="1"/>
    <col min="1028" max="1029" width="21.140625" style="1" customWidth="1"/>
    <col min="1030" max="1030" width="20.42578125" style="1" customWidth="1"/>
    <col min="1031" max="1031" width="21" style="1" customWidth="1"/>
    <col min="1032" max="1032" width="20.85546875" style="1" customWidth="1"/>
    <col min="1033" max="1033" width="20.7109375" style="1" customWidth="1"/>
    <col min="1034" max="1034" width="23.85546875" style="1" bestFit="1" customWidth="1"/>
    <col min="1035" max="1035" width="20.85546875" style="1" customWidth="1"/>
    <col min="1036" max="1036" width="20.7109375" style="1" customWidth="1"/>
    <col min="1037" max="1037" width="9.140625" style="1"/>
    <col min="1038" max="1038" width="23.140625" style="1" customWidth="1"/>
    <col min="1039" max="1039" width="9.140625" style="1"/>
    <col min="1040" max="1040" width="12.5703125" style="1" customWidth="1"/>
    <col min="1041" max="1280" width="9.140625" style="1"/>
    <col min="1281" max="1281" width="4.5703125" style="1" customWidth="1"/>
    <col min="1282" max="1282" width="60.7109375" style="1" customWidth="1"/>
    <col min="1283" max="1283" width="23.85546875" style="1" customWidth="1"/>
    <col min="1284" max="1285" width="21.140625" style="1" customWidth="1"/>
    <col min="1286" max="1286" width="20.42578125" style="1" customWidth="1"/>
    <col min="1287" max="1287" width="21" style="1" customWidth="1"/>
    <col min="1288" max="1288" width="20.85546875" style="1" customWidth="1"/>
    <col min="1289" max="1289" width="20.7109375" style="1" customWidth="1"/>
    <col min="1290" max="1290" width="23.85546875" style="1" bestFit="1" customWidth="1"/>
    <col min="1291" max="1291" width="20.85546875" style="1" customWidth="1"/>
    <col min="1292" max="1292" width="20.7109375" style="1" customWidth="1"/>
    <col min="1293" max="1293" width="9.140625" style="1"/>
    <col min="1294" max="1294" width="23.140625" style="1" customWidth="1"/>
    <col min="1295" max="1295" width="9.140625" style="1"/>
    <col min="1296" max="1296" width="12.5703125" style="1" customWidth="1"/>
    <col min="1297" max="1536" width="9.140625" style="1"/>
    <col min="1537" max="1537" width="4.5703125" style="1" customWidth="1"/>
    <col min="1538" max="1538" width="60.7109375" style="1" customWidth="1"/>
    <col min="1539" max="1539" width="23.85546875" style="1" customWidth="1"/>
    <col min="1540" max="1541" width="21.140625" style="1" customWidth="1"/>
    <col min="1542" max="1542" width="20.42578125" style="1" customWidth="1"/>
    <col min="1543" max="1543" width="21" style="1" customWidth="1"/>
    <col min="1544" max="1544" width="20.85546875" style="1" customWidth="1"/>
    <col min="1545" max="1545" width="20.7109375" style="1" customWidth="1"/>
    <col min="1546" max="1546" width="23.85546875" style="1" bestFit="1" customWidth="1"/>
    <col min="1547" max="1547" width="20.85546875" style="1" customWidth="1"/>
    <col min="1548" max="1548" width="20.7109375" style="1" customWidth="1"/>
    <col min="1549" max="1549" width="9.140625" style="1"/>
    <col min="1550" max="1550" width="23.140625" style="1" customWidth="1"/>
    <col min="1551" max="1551" width="9.140625" style="1"/>
    <col min="1552" max="1552" width="12.5703125" style="1" customWidth="1"/>
    <col min="1553" max="1792" width="9.140625" style="1"/>
    <col min="1793" max="1793" width="4.5703125" style="1" customWidth="1"/>
    <col min="1794" max="1794" width="60.7109375" style="1" customWidth="1"/>
    <col min="1795" max="1795" width="23.85546875" style="1" customWidth="1"/>
    <col min="1796" max="1797" width="21.140625" style="1" customWidth="1"/>
    <col min="1798" max="1798" width="20.42578125" style="1" customWidth="1"/>
    <col min="1799" max="1799" width="21" style="1" customWidth="1"/>
    <col min="1800" max="1800" width="20.85546875" style="1" customWidth="1"/>
    <col min="1801" max="1801" width="20.7109375" style="1" customWidth="1"/>
    <col min="1802" max="1802" width="23.85546875" style="1" bestFit="1" customWidth="1"/>
    <col min="1803" max="1803" width="20.85546875" style="1" customWidth="1"/>
    <col min="1804" max="1804" width="20.7109375" style="1" customWidth="1"/>
    <col min="1805" max="1805" width="9.140625" style="1"/>
    <col min="1806" max="1806" width="23.140625" style="1" customWidth="1"/>
    <col min="1807" max="1807" width="9.140625" style="1"/>
    <col min="1808" max="1808" width="12.5703125" style="1" customWidth="1"/>
    <col min="1809" max="2048" width="9.140625" style="1"/>
    <col min="2049" max="2049" width="4.5703125" style="1" customWidth="1"/>
    <col min="2050" max="2050" width="60.7109375" style="1" customWidth="1"/>
    <col min="2051" max="2051" width="23.85546875" style="1" customWidth="1"/>
    <col min="2052" max="2053" width="21.140625" style="1" customWidth="1"/>
    <col min="2054" max="2054" width="20.42578125" style="1" customWidth="1"/>
    <col min="2055" max="2055" width="21" style="1" customWidth="1"/>
    <col min="2056" max="2056" width="20.85546875" style="1" customWidth="1"/>
    <col min="2057" max="2057" width="20.7109375" style="1" customWidth="1"/>
    <col min="2058" max="2058" width="23.85546875" style="1" bestFit="1" customWidth="1"/>
    <col min="2059" max="2059" width="20.85546875" style="1" customWidth="1"/>
    <col min="2060" max="2060" width="20.7109375" style="1" customWidth="1"/>
    <col min="2061" max="2061" width="9.140625" style="1"/>
    <col min="2062" max="2062" width="23.140625" style="1" customWidth="1"/>
    <col min="2063" max="2063" width="9.140625" style="1"/>
    <col min="2064" max="2064" width="12.5703125" style="1" customWidth="1"/>
    <col min="2065" max="2304" width="9.140625" style="1"/>
    <col min="2305" max="2305" width="4.5703125" style="1" customWidth="1"/>
    <col min="2306" max="2306" width="60.7109375" style="1" customWidth="1"/>
    <col min="2307" max="2307" width="23.85546875" style="1" customWidth="1"/>
    <col min="2308" max="2309" width="21.140625" style="1" customWidth="1"/>
    <col min="2310" max="2310" width="20.42578125" style="1" customWidth="1"/>
    <col min="2311" max="2311" width="21" style="1" customWidth="1"/>
    <col min="2312" max="2312" width="20.85546875" style="1" customWidth="1"/>
    <col min="2313" max="2313" width="20.7109375" style="1" customWidth="1"/>
    <col min="2314" max="2314" width="23.85546875" style="1" bestFit="1" customWidth="1"/>
    <col min="2315" max="2315" width="20.85546875" style="1" customWidth="1"/>
    <col min="2316" max="2316" width="20.7109375" style="1" customWidth="1"/>
    <col min="2317" max="2317" width="9.140625" style="1"/>
    <col min="2318" max="2318" width="23.140625" style="1" customWidth="1"/>
    <col min="2319" max="2319" width="9.140625" style="1"/>
    <col min="2320" max="2320" width="12.5703125" style="1" customWidth="1"/>
    <col min="2321" max="2560" width="9.140625" style="1"/>
    <col min="2561" max="2561" width="4.5703125" style="1" customWidth="1"/>
    <col min="2562" max="2562" width="60.7109375" style="1" customWidth="1"/>
    <col min="2563" max="2563" width="23.85546875" style="1" customWidth="1"/>
    <col min="2564" max="2565" width="21.140625" style="1" customWidth="1"/>
    <col min="2566" max="2566" width="20.42578125" style="1" customWidth="1"/>
    <col min="2567" max="2567" width="21" style="1" customWidth="1"/>
    <col min="2568" max="2568" width="20.85546875" style="1" customWidth="1"/>
    <col min="2569" max="2569" width="20.7109375" style="1" customWidth="1"/>
    <col min="2570" max="2570" width="23.85546875" style="1" bestFit="1" customWidth="1"/>
    <col min="2571" max="2571" width="20.85546875" style="1" customWidth="1"/>
    <col min="2572" max="2572" width="20.7109375" style="1" customWidth="1"/>
    <col min="2573" max="2573" width="9.140625" style="1"/>
    <col min="2574" max="2574" width="23.140625" style="1" customWidth="1"/>
    <col min="2575" max="2575" width="9.140625" style="1"/>
    <col min="2576" max="2576" width="12.5703125" style="1" customWidth="1"/>
    <col min="2577" max="2816" width="9.140625" style="1"/>
    <col min="2817" max="2817" width="4.5703125" style="1" customWidth="1"/>
    <col min="2818" max="2818" width="60.7109375" style="1" customWidth="1"/>
    <col min="2819" max="2819" width="23.85546875" style="1" customWidth="1"/>
    <col min="2820" max="2821" width="21.140625" style="1" customWidth="1"/>
    <col min="2822" max="2822" width="20.42578125" style="1" customWidth="1"/>
    <col min="2823" max="2823" width="21" style="1" customWidth="1"/>
    <col min="2824" max="2824" width="20.85546875" style="1" customWidth="1"/>
    <col min="2825" max="2825" width="20.7109375" style="1" customWidth="1"/>
    <col min="2826" max="2826" width="23.85546875" style="1" bestFit="1" customWidth="1"/>
    <col min="2827" max="2827" width="20.85546875" style="1" customWidth="1"/>
    <col min="2828" max="2828" width="20.7109375" style="1" customWidth="1"/>
    <col min="2829" max="2829" width="9.140625" style="1"/>
    <col min="2830" max="2830" width="23.140625" style="1" customWidth="1"/>
    <col min="2831" max="2831" width="9.140625" style="1"/>
    <col min="2832" max="2832" width="12.5703125" style="1" customWidth="1"/>
    <col min="2833" max="3072" width="9.140625" style="1"/>
    <col min="3073" max="3073" width="4.5703125" style="1" customWidth="1"/>
    <col min="3074" max="3074" width="60.7109375" style="1" customWidth="1"/>
    <col min="3075" max="3075" width="23.85546875" style="1" customWidth="1"/>
    <col min="3076" max="3077" width="21.140625" style="1" customWidth="1"/>
    <col min="3078" max="3078" width="20.42578125" style="1" customWidth="1"/>
    <col min="3079" max="3079" width="21" style="1" customWidth="1"/>
    <col min="3080" max="3080" width="20.85546875" style="1" customWidth="1"/>
    <col min="3081" max="3081" width="20.7109375" style="1" customWidth="1"/>
    <col min="3082" max="3082" width="23.85546875" style="1" bestFit="1" customWidth="1"/>
    <col min="3083" max="3083" width="20.85546875" style="1" customWidth="1"/>
    <col min="3084" max="3084" width="20.7109375" style="1" customWidth="1"/>
    <col min="3085" max="3085" width="9.140625" style="1"/>
    <col min="3086" max="3086" width="23.140625" style="1" customWidth="1"/>
    <col min="3087" max="3087" width="9.140625" style="1"/>
    <col min="3088" max="3088" width="12.5703125" style="1" customWidth="1"/>
    <col min="3089" max="3328" width="9.140625" style="1"/>
    <col min="3329" max="3329" width="4.5703125" style="1" customWidth="1"/>
    <col min="3330" max="3330" width="60.7109375" style="1" customWidth="1"/>
    <col min="3331" max="3331" width="23.85546875" style="1" customWidth="1"/>
    <col min="3332" max="3333" width="21.140625" style="1" customWidth="1"/>
    <col min="3334" max="3334" width="20.42578125" style="1" customWidth="1"/>
    <col min="3335" max="3335" width="21" style="1" customWidth="1"/>
    <col min="3336" max="3336" width="20.85546875" style="1" customWidth="1"/>
    <col min="3337" max="3337" width="20.7109375" style="1" customWidth="1"/>
    <col min="3338" max="3338" width="23.85546875" style="1" bestFit="1" customWidth="1"/>
    <col min="3339" max="3339" width="20.85546875" style="1" customWidth="1"/>
    <col min="3340" max="3340" width="20.7109375" style="1" customWidth="1"/>
    <col min="3341" max="3341" width="9.140625" style="1"/>
    <col min="3342" max="3342" width="23.140625" style="1" customWidth="1"/>
    <col min="3343" max="3343" width="9.140625" style="1"/>
    <col min="3344" max="3344" width="12.5703125" style="1" customWidth="1"/>
    <col min="3345" max="3584" width="9.140625" style="1"/>
    <col min="3585" max="3585" width="4.5703125" style="1" customWidth="1"/>
    <col min="3586" max="3586" width="60.7109375" style="1" customWidth="1"/>
    <col min="3587" max="3587" width="23.85546875" style="1" customWidth="1"/>
    <col min="3588" max="3589" width="21.140625" style="1" customWidth="1"/>
    <col min="3590" max="3590" width="20.42578125" style="1" customWidth="1"/>
    <col min="3591" max="3591" width="21" style="1" customWidth="1"/>
    <col min="3592" max="3592" width="20.85546875" style="1" customWidth="1"/>
    <col min="3593" max="3593" width="20.7109375" style="1" customWidth="1"/>
    <col min="3594" max="3594" width="23.85546875" style="1" bestFit="1" customWidth="1"/>
    <col min="3595" max="3595" width="20.85546875" style="1" customWidth="1"/>
    <col min="3596" max="3596" width="20.7109375" style="1" customWidth="1"/>
    <col min="3597" max="3597" width="9.140625" style="1"/>
    <col min="3598" max="3598" width="23.140625" style="1" customWidth="1"/>
    <col min="3599" max="3599" width="9.140625" style="1"/>
    <col min="3600" max="3600" width="12.5703125" style="1" customWidth="1"/>
    <col min="3601" max="3840" width="9.140625" style="1"/>
    <col min="3841" max="3841" width="4.5703125" style="1" customWidth="1"/>
    <col min="3842" max="3842" width="60.7109375" style="1" customWidth="1"/>
    <col min="3843" max="3843" width="23.85546875" style="1" customWidth="1"/>
    <col min="3844" max="3845" width="21.140625" style="1" customWidth="1"/>
    <col min="3846" max="3846" width="20.42578125" style="1" customWidth="1"/>
    <col min="3847" max="3847" width="21" style="1" customWidth="1"/>
    <col min="3848" max="3848" width="20.85546875" style="1" customWidth="1"/>
    <col min="3849" max="3849" width="20.7109375" style="1" customWidth="1"/>
    <col min="3850" max="3850" width="23.85546875" style="1" bestFit="1" customWidth="1"/>
    <col min="3851" max="3851" width="20.85546875" style="1" customWidth="1"/>
    <col min="3852" max="3852" width="20.7109375" style="1" customWidth="1"/>
    <col min="3853" max="3853" width="9.140625" style="1"/>
    <col min="3854" max="3854" width="23.140625" style="1" customWidth="1"/>
    <col min="3855" max="3855" width="9.140625" style="1"/>
    <col min="3856" max="3856" width="12.5703125" style="1" customWidth="1"/>
    <col min="3857" max="4096" width="9.140625" style="1"/>
    <col min="4097" max="4097" width="4.5703125" style="1" customWidth="1"/>
    <col min="4098" max="4098" width="60.7109375" style="1" customWidth="1"/>
    <col min="4099" max="4099" width="23.85546875" style="1" customWidth="1"/>
    <col min="4100" max="4101" width="21.140625" style="1" customWidth="1"/>
    <col min="4102" max="4102" width="20.42578125" style="1" customWidth="1"/>
    <col min="4103" max="4103" width="21" style="1" customWidth="1"/>
    <col min="4104" max="4104" width="20.85546875" style="1" customWidth="1"/>
    <col min="4105" max="4105" width="20.7109375" style="1" customWidth="1"/>
    <col min="4106" max="4106" width="23.85546875" style="1" bestFit="1" customWidth="1"/>
    <col min="4107" max="4107" width="20.85546875" style="1" customWidth="1"/>
    <col min="4108" max="4108" width="20.7109375" style="1" customWidth="1"/>
    <col min="4109" max="4109" width="9.140625" style="1"/>
    <col min="4110" max="4110" width="23.140625" style="1" customWidth="1"/>
    <col min="4111" max="4111" width="9.140625" style="1"/>
    <col min="4112" max="4112" width="12.5703125" style="1" customWidth="1"/>
    <col min="4113" max="4352" width="9.140625" style="1"/>
    <col min="4353" max="4353" width="4.5703125" style="1" customWidth="1"/>
    <col min="4354" max="4354" width="60.7109375" style="1" customWidth="1"/>
    <col min="4355" max="4355" width="23.85546875" style="1" customWidth="1"/>
    <col min="4356" max="4357" width="21.140625" style="1" customWidth="1"/>
    <col min="4358" max="4358" width="20.42578125" style="1" customWidth="1"/>
    <col min="4359" max="4359" width="21" style="1" customWidth="1"/>
    <col min="4360" max="4360" width="20.85546875" style="1" customWidth="1"/>
    <col min="4361" max="4361" width="20.7109375" style="1" customWidth="1"/>
    <col min="4362" max="4362" width="23.85546875" style="1" bestFit="1" customWidth="1"/>
    <col min="4363" max="4363" width="20.85546875" style="1" customWidth="1"/>
    <col min="4364" max="4364" width="20.7109375" style="1" customWidth="1"/>
    <col min="4365" max="4365" width="9.140625" style="1"/>
    <col min="4366" max="4366" width="23.140625" style="1" customWidth="1"/>
    <col min="4367" max="4367" width="9.140625" style="1"/>
    <col min="4368" max="4368" width="12.5703125" style="1" customWidth="1"/>
    <col min="4369" max="4608" width="9.140625" style="1"/>
    <col min="4609" max="4609" width="4.5703125" style="1" customWidth="1"/>
    <col min="4610" max="4610" width="60.7109375" style="1" customWidth="1"/>
    <col min="4611" max="4611" width="23.85546875" style="1" customWidth="1"/>
    <col min="4612" max="4613" width="21.140625" style="1" customWidth="1"/>
    <col min="4614" max="4614" width="20.42578125" style="1" customWidth="1"/>
    <col min="4615" max="4615" width="21" style="1" customWidth="1"/>
    <col min="4616" max="4616" width="20.85546875" style="1" customWidth="1"/>
    <col min="4617" max="4617" width="20.7109375" style="1" customWidth="1"/>
    <col min="4618" max="4618" width="23.85546875" style="1" bestFit="1" customWidth="1"/>
    <col min="4619" max="4619" width="20.85546875" style="1" customWidth="1"/>
    <col min="4620" max="4620" width="20.7109375" style="1" customWidth="1"/>
    <col min="4621" max="4621" width="9.140625" style="1"/>
    <col min="4622" max="4622" width="23.140625" style="1" customWidth="1"/>
    <col min="4623" max="4623" width="9.140625" style="1"/>
    <col min="4624" max="4624" width="12.5703125" style="1" customWidth="1"/>
    <col min="4625" max="4864" width="9.140625" style="1"/>
    <col min="4865" max="4865" width="4.5703125" style="1" customWidth="1"/>
    <col min="4866" max="4866" width="60.7109375" style="1" customWidth="1"/>
    <col min="4867" max="4867" width="23.85546875" style="1" customWidth="1"/>
    <col min="4868" max="4869" width="21.140625" style="1" customWidth="1"/>
    <col min="4870" max="4870" width="20.42578125" style="1" customWidth="1"/>
    <col min="4871" max="4871" width="21" style="1" customWidth="1"/>
    <col min="4872" max="4872" width="20.85546875" style="1" customWidth="1"/>
    <col min="4873" max="4873" width="20.7109375" style="1" customWidth="1"/>
    <col min="4874" max="4874" width="23.85546875" style="1" bestFit="1" customWidth="1"/>
    <col min="4875" max="4875" width="20.85546875" style="1" customWidth="1"/>
    <col min="4876" max="4876" width="20.7109375" style="1" customWidth="1"/>
    <col min="4877" max="4877" width="9.140625" style="1"/>
    <col min="4878" max="4878" width="23.140625" style="1" customWidth="1"/>
    <col min="4879" max="4879" width="9.140625" style="1"/>
    <col min="4880" max="4880" width="12.5703125" style="1" customWidth="1"/>
    <col min="4881" max="5120" width="9.140625" style="1"/>
    <col min="5121" max="5121" width="4.5703125" style="1" customWidth="1"/>
    <col min="5122" max="5122" width="60.7109375" style="1" customWidth="1"/>
    <col min="5123" max="5123" width="23.85546875" style="1" customWidth="1"/>
    <col min="5124" max="5125" width="21.140625" style="1" customWidth="1"/>
    <col min="5126" max="5126" width="20.42578125" style="1" customWidth="1"/>
    <col min="5127" max="5127" width="21" style="1" customWidth="1"/>
    <col min="5128" max="5128" width="20.85546875" style="1" customWidth="1"/>
    <col min="5129" max="5129" width="20.7109375" style="1" customWidth="1"/>
    <col min="5130" max="5130" width="23.85546875" style="1" bestFit="1" customWidth="1"/>
    <col min="5131" max="5131" width="20.85546875" style="1" customWidth="1"/>
    <col min="5132" max="5132" width="20.7109375" style="1" customWidth="1"/>
    <col min="5133" max="5133" width="9.140625" style="1"/>
    <col min="5134" max="5134" width="23.140625" style="1" customWidth="1"/>
    <col min="5135" max="5135" width="9.140625" style="1"/>
    <col min="5136" max="5136" width="12.5703125" style="1" customWidth="1"/>
    <col min="5137" max="5376" width="9.140625" style="1"/>
    <col min="5377" max="5377" width="4.5703125" style="1" customWidth="1"/>
    <col min="5378" max="5378" width="60.7109375" style="1" customWidth="1"/>
    <col min="5379" max="5379" width="23.85546875" style="1" customWidth="1"/>
    <col min="5380" max="5381" width="21.140625" style="1" customWidth="1"/>
    <col min="5382" max="5382" width="20.42578125" style="1" customWidth="1"/>
    <col min="5383" max="5383" width="21" style="1" customWidth="1"/>
    <col min="5384" max="5384" width="20.85546875" style="1" customWidth="1"/>
    <col min="5385" max="5385" width="20.7109375" style="1" customWidth="1"/>
    <col min="5386" max="5386" width="23.85546875" style="1" bestFit="1" customWidth="1"/>
    <col min="5387" max="5387" width="20.85546875" style="1" customWidth="1"/>
    <col min="5388" max="5388" width="20.7109375" style="1" customWidth="1"/>
    <col min="5389" max="5389" width="9.140625" style="1"/>
    <col min="5390" max="5390" width="23.140625" style="1" customWidth="1"/>
    <col min="5391" max="5391" width="9.140625" style="1"/>
    <col min="5392" max="5392" width="12.5703125" style="1" customWidth="1"/>
    <col min="5393" max="5632" width="9.140625" style="1"/>
    <col min="5633" max="5633" width="4.5703125" style="1" customWidth="1"/>
    <col min="5634" max="5634" width="60.7109375" style="1" customWidth="1"/>
    <col min="5635" max="5635" width="23.85546875" style="1" customWidth="1"/>
    <col min="5636" max="5637" width="21.140625" style="1" customWidth="1"/>
    <col min="5638" max="5638" width="20.42578125" style="1" customWidth="1"/>
    <col min="5639" max="5639" width="21" style="1" customWidth="1"/>
    <col min="5640" max="5640" width="20.85546875" style="1" customWidth="1"/>
    <col min="5641" max="5641" width="20.7109375" style="1" customWidth="1"/>
    <col min="5642" max="5642" width="23.85546875" style="1" bestFit="1" customWidth="1"/>
    <col min="5643" max="5643" width="20.85546875" style="1" customWidth="1"/>
    <col min="5644" max="5644" width="20.7109375" style="1" customWidth="1"/>
    <col min="5645" max="5645" width="9.140625" style="1"/>
    <col min="5646" max="5646" width="23.140625" style="1" customWidth="1"/>
    <col min="5647" max="5647" width="9.140625" style="1"/>
    <col min="5648" max="5648" width="12.5703125" style="1" customWidth="1"/>
    <col min="5649" max="5888" width="9.140625" style="1"/>
    <col min="5889" max="5889" width="4.5703125" style="1" customWidth="1"/>
    <col min="5890" max="5890" width="60.7109375" style="1" customWidth="1"/>
    <col min="5891" max="5891" width="23.85546875" style="1" customWidth="1"/>
    <col min="5892" max="5893" width="21.140625" style="1" customWidth="1"/>
    <col min="5894" max="5894" width="20.42578125" style="1" customWidth="1"/>
    <col min="5895" max="5895" width="21" style="1" customWidth="1"/>
    <col min="5896" max="5896" width="20.85546875" style="1" customWidth="1"/>
    <col min="5897" max="5897" width="20.7109375" style="1" customWidth="1"/>
    <col min="5898" max="5898" width="23.85546875" style="1" bestFit="1" customWidth="1"/>
    <col min="5899" max="5899" width="20.85546875" style="1" customWidth="1"/>
    <col min="5900" max="5900" width="20.7109375" style="1" customWidth="1"/>
    <col min="5901" max="5901" width="9.140625" style="1"/>
    <col min="5902" max="5902" width="23.140625" style="1" customWidth="1"/>
    <col min="5903" max="5903" width="9.140625" style="1"/>
    <col min="5904" max="5904" width="12.5703125" style="1" customWidth="1"/>
    <col min="5905" max="6144" width="9.140625" style="1"/>
    <col min="6145" max="6145" width="4.5703125" style="1" customWidth="1"/>
    <col min="6146" max="6146" width="60.7109375" style="1" customWidth="1"/>
    <col min="6147" max="6147" width="23.85546875" style="1" customWidth="1"/>
    <col min="6148" max="6149" width="21.140625" style="1" customWidth="1"/>
    <col min="6150" max="6150" width="20.42578125" style="1" customWidth="1"/>
    <col min="6151" max="6151" width="21" style="1" customWidth="1"/>
    <col min="6152" max="6152" width="20.85546875" style="1" customWidth="1"/>
    <col min="6153" max="6153" width="20.7109375" style="1" customWidth="1"/>
    <col min="6154" max="6154" width="23.85546875" style="1" bestFit="1" customWidth="1"/>
    <col min="6155" max="6155" width="20.85546875" style="1" customWidth="1"/>
    <col min="6156" max="6156" width="20.7109375" style="1" customWidth="1"/>
    <col min="6157" max="6157" width="9.140625" style="1"/>
    <col min="6158" max="6158" width="23.140625" style="1" customWidth="1"/>
    <col min="6159" max="6159" width="9.140625" style="1"/>
    <col min="6160" max="6160" width="12.5703125" style="1" customWidth="1"/>
    <col min="6161" max="6400" width="9.140625" style="1"/>
    <col min="6401" max="6401" width="4.5703125" style="1" customWidth="1"/>
    <col min="6402" max="6402" width="60.7109375" style="1" customWidth="1"/>
    <col min="6403" max="6403" width="23.85546875" style="1" customWidth="1"/>
    <col min="6404" max="6405" width="21.140625" style="1" customWidth="1"/>
    <col min="6406" max="6406" width="20.42578125" style="1" customWidth="1"/>
    <col min="6407" max="6407" width="21" style="1" customWidth="1"/>
    <col min="6408" max="6408" width="20.85546875" style="1" customWidth="1"/>
    <col min="6409" max="6409" width="20.7109375" style="1" customWidth="1"/>
    <col min="6410" max="6410" width="23.85546875" style="1" bestFit="1" customWidth="1"/>
    <col min="6411" max="6411" width="20.85546875" style="1" customWidth="1"/>
    <col min="6412" max="6412" width="20.7109375" style="1" customWidth="1"/>
    <col min="6413" max="6413" width="9.140625" style="1"/>
    <col min="6414" max="6414" width="23.140625" style="1" customWidth="1"/>
    <col min="6415" max="6415" width="9.140625" style="1"/>
    <col min="6416" max="6416" width="12.5703125" style="1" customWidth="1"/>
    <col min="6417" max="6656" width="9.140625" style="1"/>
    <col min="6657" max="6657" width="4.5703125" style="1" customWidth="1"/>
    <col min="6658" max="6658" width="60.7109375" style="1" customWidth="1"/>
    <col min="6659" max="6659" width="23.85546875" style="1" customWidth="1"/>
    <col min="6660" max="6661" width="21.140625" style="1" customWidth="1"/>
    <col min="6662" max="6662" width="20.42578125" style="1" customWidth="1"/>
    <col min="6663" max="6663" width="21" style="1" customWidth="1"/>
    <col min="6664" max="6664" width="20.85546875" style="1" customWidth="1"/>
    <col min="6665" max="6665" width="20.7109375" style="1" customWidth="1"/>
    <col min="6666" max="6666" width="23.85546875" style="1" bestFit="1" customWidth="1"/>
    <col min="6667" max="6667" width="20.85546875" style="1" customWidth="1"/>
    <col min="6668" max="6668" width="20.7109375" style="1" customWidth="1"/>
    <col min="6669" max="6669" width="9.140625" style="1"/>
    <col min="6670" max="6670" width="23.140625" style="1" customWidth="1"/>
    <col min="6671" max="6671" width="9.140625" style="1"/>
    <col min="6672" max="6672" width="12.5703125" style="1" customWidth="1"/>
    <col min="6673" max="6912" width="9.140625" style="1"/>
    <col min="6913" max="6913" width="4.5703125" style="1" customWidth="1"/>
    <col min="6914" max="6914" width="60.7109375" style="1" customWidth="1"/>
    <col min="6915" max="6915" width="23.85546875" style="1" customWidth="1"/>
    <col min="6916" max="6917" width="21.140625" style="1" customWidth="1"/>
    <col min="6918" max="6918" width="20.42578125" style="1" customWidth="1"/>
    <col min="6919" max="6919" width="21" style="1" customWidth="1"/>
    <col min="6920" max="6920" width="20.85546875" style="1" customWidth="1"/>
    <col min="6921" max="6921" width="20.7109375" style="1" customWidth="1"/>
    <col min="6922" max="6922" width="23.85546875" style="1" bestFit="1" customWidth="1"/>
    <col min="6923" max="6923" width="20.85546875" style="1" customWidth="1"/>
    <col min="6924" max="6924" width="20.7109375" style="1" customWidth="1"/>
    <col min="6925" max="6925" width="9.140625" style="1"/>
    <col min="6926" max="6926" width="23.140625" style="1" customWidth="1"/>
    <col min="6927" max="6927" width="9.140625" style="1"/>
    <col min="6928" max="6928" width="12.5703125" style="1" customWidth="1"/>
    <col min="6929" max="7168" width="9.140625" style="1"/>
    <col min="7169" max="7169" width="4.5703125" style="1" customWidth="1"/>
    <col min="7170" max="7170" width="60.7109375" style="1" customWidth="1"/>
    <col min="7171" max="7171" width="23.85546875" style="1" customWidth="1"/>
    <col min="7172" max="7173" width="21.140625" style="1" customWidth="1"/>
    <col min="7174" max="7174" width="20.42578125" style="1" customWidth="1"/>
    <col min="7175" max="7175" width="21" style="1" customWidth="1"/>
    <col min="7176" max="7176" width="20.85546875" style="1" customWidth="1"/>
    <col min="7177" max="7177" width="20.7109375" style="1" customWidth="1"/>
    <col min="7178" max="7178" width="23.85546875" style="1" bestFit="1" customWidth="1"/>
    <col min="7179" max="7179" width="20.85546875" style="1" customWidth="1"/>
    <col min="7180" max="7180" width="20.7109375" style="1" customWidth="1"/>
    <col min="7181" max="7181" width="9.140625" style="1"/>
    <col min="7182" max="7182" width="23.140625" style="1" customWidth="1"/>
    <col min="7183" max="7183" width="9.140625" style="1"/>
    <col min="7184" max="7184" width="12.5703125" style="1" customWidth="1"/>
    <col min="7185" max="7424" width="9.140625" style="1"/>
    <col min="7425" max="7425" width="4.5703125" style="1" customWidth="1"/>
    <col min="7426" max="7426" width="60.7109375" style="1" customWidth="1"/>
    <col min="7427" max="7427" width="23.85546875" style="1" customWidth="1"/>
    <col min="7428" max="7429" width="21.140625" style="1" customWidth="1"/>
    <col min="7430" max="7430" width="20.42578125" style="1" customWidth="1"/>
    <col min="7431" max="7431" width="21" style="1" customWidth="1"/>
    <col min="7432" max="7432" width="20.85546875" style="1" customWidth="1"/>
    <col min="7433" max="7433" width="20.7109375" style="1" customWidth="1"/>
    <col min="7434" max="7434" width="23.85546875" style="1" bestFit="1" customWidth="1"/>
    <col min="7435" max="7435" width="20.85546875" style="1" customWidth="1"/>
    <col min="7436" max="7436" width="20.7109375" style="1" customWidth="1"/>
    <col min="7437" max="7437" width="9.140625" style="1"/>
    <col min="7438" max="7438" width="23.140625" style="1" customWidth="1"/>
    <col min="7439" max="7439" width="9.140625" style="1"/>
    <col min="7440" max="7440" width="12.5703125" style="1" customWidth="1"/>
    <col min="7441" max="7680" width="9.140625" style="1"/>
    <col min="7681" max="7681" width="4.5703125" style="1" customWidth="1"/>
    <col min="7682" max="7682" width="60.7109375" style="1" customWidth="1"/>
    <col min="7683" max="7683" width="23.85546875" style="1" customWidth="1"/>
    <col min="7684" max="7685" width="21.140625" style="1" customWidth="1"/>
    <col min="7686" max="7686" width="20.42578125" style="1" customWidth="1"/>
    <col min="7687" max="7687" width="21" style="1" customWidth="1"/>
    <col min="7688" max="7688" width="20.85546875" style="1" customWidth="1"/>
    <col min="7689" max="7689" width="20.7109375" style="1" customWidth="1"/>
    <col min="7690" max="7690" width="23.85546875" style="1" bestFit="1" customWidth="1"/>
    <col min="7691" max="7691" width="20.85546875" style="1" customWidth="1"/>
    <col min="7692" max="7692" width="20.7109375" style="1" customWidth="1"/>
    <col min="7693" max="7693" width="9.140625" style="1"/>
    <col min="7694" max="7694" width="23.140625" style="1" customWidth="1"/>
    <col min="7695" max="7695" width="9.140625" style="1"/>
    <col min="7696" max="7696" width="12.5703125" style="1" customWidth="1"/>
    <col min="7697" max="7936" width="9.140625" style="1"/>
    <col min="7937" max="7937" width="4.5703125" style="1" customWidth="1"/>
    <col min="7938" max="7938" width="60.7109375" style="1" customWidth="1"/>
    <col min="7939" max="7939" width="23.85546875" style="1" customWidth="1"/>
    <col min="7940" max="7941" width="21.140625" style="1" customWidth="1"/>
    <col min="7942" max="7942" width="20.42578125" style="1" customWidth="1"/>
    <col min="7943" max="7943" width="21" style="1" customWidth="1"/>
    <col min="7944" max="7944" width="20.85546875" style="1" customWidth="1"/>
    <col min="7945" max="7945" width="20.7109375" style="1" customWidth="1"/>
    <col min="7946" max="7946" width="23.85546875" style="1" bestFit="1" customWidth="1"/>
    <col min="7947" max="7947" width="20.85546875" style="1" customWidth="1"/>
    <col min="7948" max="7948" width="20.7109375" style="1" customWidth="1"/>
    <col min="7949" max="7949" width="9.140625" style="1"/>
    <col min="7950" max="7950" width="23.140625" style="1" customWidth="1"/>
    <col min="7951" max="7951" width="9.140625" style="1"/>
    <col min="7952" max="7952" width="12.5703125" style="1" customWidth="1"/>
    <col min="7953" max="8192" width="9.140625" style="1"/>
    <col min="8193" max="8193" width="4.5703125" style="1" customWidth="1"/>
    <col min="8194" max="8194" width="60.7109375" style="1" customWidth="1"/>
    <col min="8195" max="8195" width="23.85546875" style="1" customWidth="1"/>
    <col min="8196" max="8197" width="21.140625" style="1" customWidth="1"/>
    <col min="8198" max="8198" width="20.42578125" style="1" customWidth="1"/>
    <col min="8199" max="8199" width="21" style="1" customWidth="1"/>
    <col min="8200" max="8200" width="20.85546875" style="1" customWidth="1"/>
    <col min="8201" max="8201" width="20.7109375" style="1" customWidth="1"/>
    <col min="8202" max="8202" width="23.85546875" style="1" bestFit="1" customWidth="1"/>
    <col min="8203" max="8203" width="20.85546875" style="1" customWidth="1"/>
    <col min="8204" max="8204" width="20.7109375" style="1" customWidth="1"/>
    <col min="8205" max="8205" width="9.140625" style="1"/>
    <col min="8206" max="8206" width="23.140625" style="1" customWidth="1"/>
    <col min="8207" max="8207" width="9.140625" style="1"/>
    <col min="8208" max="8208" width="12.5703125" style="1" customWidth="1"/>
    <col min="8209" max="8448" width="9.140625" style="1"/>
    <col min="8449" max="8449" width="4.5703125" style="1" customWidth="1"/>
    <col min="8450" max="8450" width="60.7109375" style="1" customWidth="1"/>
    <col min="8451" max="8451" width="23.85546875" style="1" customWidth="1"/>
    <col min="8452" max="8453" width="21.140625" style="1" customWidth="1"/>
    <col min="8454" max="8454" width="20.42578125" style="1" customWidth="1"/>
    <col min="8455" max="8455" width="21" style="1" customWidth="1"/>
    <col min="8456" max="8456" width="20.85546875" style="1" customWidth="1"/>
    <col min="8457" max="8457" width="20.7109375" style="1" customWidth="1"/>
    <col min="8458" max="8458" width="23.85546875" style="1" bestFit="1" customWidth="1"/>
    <col min="8459" max="8459" width="20.85546875" style="1" customWidth="1"/>
    <col min="8460" max="8460" width="20.7109375" style="1" customWidth="1"/>
    <col min="8461" max="8461" width="9.140625" style="1"/>
    <col min="8462" max="8462" width="23.140625" style="1" customWidth="1"/>
    <col min="8463" max="8463" width="9.140625" style="1"/>
    <col min="8464" max="8464" width="12.5703125" style="1" customWidth="1"/>
    <col min="8465" max="8704" width="9.140625" style="1"/>
    <col min="8705" max="8705" width="4.5703125" style="1" customWidth="1"/>
    <col min="8706" max="8706" width="60.7109375" style="1" customWidth="1"/>
    <col min="8707" max="8707" width="23.85546875" style="1" customWidth="1"/>
    <col min="8708" max="8709" width="21.140625" style="1" customWidth="1"/>
    <col min="8710" max="8710" width="20.42578125" style="1" customWidth="1"/>
    <col min="8711" max="8711" width="21" style="1" customWidth="1"/>
    <col min="8712" max="8712" width="20.85546875" style="1" customWidth="1"/>
    <col min="8713" max="8713" width="20.7109375" style="1" customWidth="1"/>
    <col min="8714" max="8714" width="23.85546875" style="1" bestFit="1" customWidth="1"/>
    <col min="8715" max="8715" width="20.85546875" style="1" customWidth="1"/>
    <col min="8716" max="8716" width="20.7109375" style="1" customWidth="1"/>
    <col min="8717" max="8717" width="9.140625" style="1"/>
    <col min="8718" max="8718" width="23.140625" style="1" customWidth="1"/>
    <col min="8719" max="8719" width="9.140625" style="1"/>
    <col min="8720" max="8720" width="12.5703125" style="1" customWidth="1"/>
    <col min="8721" max="8960" width="9.140625" style="1"/>
    <col min="8961" max="8961" width="4.5703125" style="1" customWidth="1"/>
    <col min="8962" max="8962" width="60.7109375" style="1" customWidth="1"/>
    <col min="8963" max="8963" width="23.85546875" style="1" customWidth="1"/>
    <col min="8964" max="8965" width="21.140625" style="1" customWidth="1"/>
    <col min="8966" max="8966" width="20.42578125" style="1" customWidth="1"/>
    <col min="8967" max="8967" width="21" style="1" customWidth="1"/>
    <col min="8968" max="8968" width="20.85546875" style="1" customWidth="1"/>
    <col min="8969" max="8969" width="20.7109375" style="1" customWidth="1"/>
    <col min="8970" max="8970" width="23.85546875" style="1" bestFit="1" customWidth="1"/>
    <col min="8971" max="8971" width="20.85546875" style="1" customWidth="1"/>
    <col min="8972" max="8972" width="20.7109375" style="1" customWidth="1"/>
    <col min="8973" max="8973" width="9.140625" style="1"/>
    <col min="8974" max="8974" width="23.140625" style="1" customWidth="1"/>
    <col min="8975" max="8975" width="9.140625" style="1"/>
    <col min="8976" max="8976" width="12.5703125" style="1" customWidth="1"/>
    <col min="8977" max="9216" width="9.140625" style="1"/>
    <col min="9217" max="9217" width="4.5703125" style="1" customWidth="1"/>
    <col min="9218" max="9218" width="60.7109375" style="1" customWidth="1"/>
    <col min="9219" max="9219" width="23.85546875" style="1" customWidth="1"/>
    <col min="9220" max="9221" width="21.140625" style="1" customWidth="1"/>
    <col min="9222" max="9222" width="20.42578125" style="1" customWidth="1"/>
    <col min="9223" max="9223" width="21" style="1" customWidth="1"/>
    <col min="9224" max="9224" width="20.85546875" style="1" customWidth="1"/>
    <col min="9225" max="9225" width="20.7109375" style="1" customWidth="1"/>
    <col min="9226" max="9226" width="23.85546875" style="1" bestFit="1" customWidth="1"/>
    <col min="9227" max="9227" width="20.85546875" style="1" customWidth="1"/>
    <col min="9228" max="9228" width="20.7109375" style="1" customWidth="1"/>
    <col min="9229" max="9229" width="9.140625" style="1"/>
    <col min="9230" max="9230" width="23.140625" style="1" customWidth="1"/>
    <col min="9231" max="9231" width="9.140625" style="1"/>
    <col min="9232" max="9232" width="12.5703125" style="1" customWidth="1"/>
    <col min="9233" max="9472" width="9.140625" style="1"/>
    <col min="9473" max="9473" width="4.5703125" style="1" customWidth="1"/>
    <col min="9474" max="9474" width="60.7109375" style="1" customWidth="1"/>
    <col min="9475" max="9475" width="23.85546875" style="1" customWidth="1"/>
    <col min="9476" max="9477" width="21.140625" style="1" customWidth="1"/>
    <col min="9478" max="9478" width="20.42578125" style="1" customWidth="1"/>
    <col min="9479" max="9479" width="21" style="1" customWidth="1"/>
    <col min="9480" max="9480" width="20.85546875" style="1" customWidth="1"/>
    <col min="9481" max="9481" width="20.7109375" style="1" customWidth="1"/>
    <col min="9482" max="9482" width="23.85546875" style="1" bestFit="1" customWidth="1"/>
    <col min="9483" max="9483" width="20.85546875" style="1" customWidth="1"/>
    <col min="9484" max="9484" width="20.7109375" style="1" customWidth="1"/>
    <col min="9485" max="9485" width="9.140625" style="1"/>
    <col min="9486" max="9486" width="23.140625" style="1" customWidth="1"/>
    <col min="9487" max="9487" width="9.140625" style="1"/>
    <col min="9488" max="9488" width="12.5703125" style="1" customWidth="1"/>
    <col min="9489" max="9728" width="9.140625" style="1"/>
    <col min="9729" max="9729" width="4.5703125" style="1" customWidth="1"/>
    <col min="9730" max="9730" width="60.7109375" style="1" customWidth="1"/>
    <col min="9731" max="9731" width="23.85546875" style="1" customWidth="1"/>
    <col min="9732" max="9733" width="21.140625" style="1" customWidth="1"/>
    <col min="9734" max="9734" width="20.42578125" style="1" customWidth="1"/>
    <col min="9735" max="9735" width="21" style="1" customWidth="1"/>
    <col min="9736" max="9736" width="20.85546875" style="1" customWidth="1"/>
    <col min="9737" max="9737" width="20.7109375" style="1" customWidth="1"/>
    <col min="9738" max="9738" width="23.85546875" style="1" bestFit="1" customWidth="1"/>
    <col min="9739" max="9739" width="20.85546875" style="1" customWidth="1"/>
    <col min="9740" max="9740" width="20.7109375" style="1" customWidth="1"/>
    <col min="9741" max="9741" width="9.140625" style="1"/>
    <col min="9742" max="9742" width="23.140625" style="1" customWidth="1"/>
    <col min="9743" max="9743" width="9.140625" style="1"/>
    <col min="9744" max="9744" width="12.5703125" style="1" customWidth="1"/>
    <col min="9745" max="9984" width="9.140625" style="1"/>
    <col min="9985" max="9985" width="4.5703125" style="1" customWidth="1"/>
    <col min="9986" max="9986" width="60.7109375" style="1" customWidth="1"/>
    <col min="9987" max="9987" width="23.85546875" style="1" customWidth="1"/>
    <col min="9988" max="9989" width="21.140625" style="1" customWidth="1"/>
    <col min="9990" max="9990" width="20.42578125" style="1" customWidth="1"/>
    <col min="9991" max="9991" width="21" style="1" customWidth="1"/>
    <col min="9992" max="9992" width="20.85546875" style="1" customWidth="1"/>
    <col min="9993" max="9993" width="20.7109375" style="1" customWidth="1"/>
    <col min="9994" max="9994" width="23.85546875" style="1" bestFit="1" customWidth="1"/>
    <col min="9995" max="9995" width="20.85546875" style="1" customWidth="1"/>
    <col min="9996" max="9996" width="20.7109375" style="1" customWidth="1"/>
    <col min="9997" max="9997" width="9.140625" style="1"/>
    <col min="9998" max="9998" width="23.140625" style="1" customWidth="1"/>
    <col min="9999" max="9999" width="9.140625" style="1"/>
    <col min="10000" max="10000" width="12.5703125" style="1" customWidth="1"/>
    <col min="10001" max="10240" width="9.140625" style="1"/>
    <col min="10241" max="10241" width="4.5703125" style="1" customWidth="1"/>
    <col min="10242" max="10242" width="60.7109375" style="1" customWidth="1"/>
    <col min="10243" max="10243" width="23.85546875" style="1" customWidth="1"/>
    <col min="10244" max="10245" width="21.140625" style="1" customWidth="1"/>
    <col min="10246" max="10246" width="20.42578125" style="1" customWidth="1"/>
    <col min="10247" max="10247" width="21" style="1" customWidth="1"/>
    <col min="10248" max="10248" width="20.85546875" style="1" customWidth="1"/>
    <col min="10249" max="10249" width="20.7109375" style="1" customWidth="1"/>
    <col min="10250" max="10250" width="23.85546875" style="1" bestFit="1" customWidth="1"/>
    <col min="10251" max="10251" width="20.85546875" style="1" customWidth="1"/>
    <col min="10252" max="10252" width="20.7109375" style="1" customWidth="1"/>
    <col min="10253" max="10253" width="9.140625" style="1"/>
    <col min="10254" max="10254" width="23.140625" style="1" customWidth="1"/>
    <col min="10255" max="10255" width="9.140625" style="1"/>
    <col min="10256" max="10256" width="12.5703125" style="1" customWidth="1"/>
    <col min="10257" max="10496" width="9.140625" style="1"/>
    <col min="10497" max="10497" width="4.5703125" style="1" customWidth="1"/>
    <col min="10498" max="10498" width="60.7109375" style="1" customWidth="1"/>
    <col min="10499" max="10499" width="23.85546875" style="1" customWidth="1"/>
    <col min="10500" max="10501" width="21.140625" style="1" customWidth="1"/>
    <col min="10502" max="10502" width="20.42578125" style="1" customWidth="1"/>
    <col min="10503" max="10503" width="21" style="1" customWidth="1"/>
    <col min="10504" max="10504" width="20.85546875" style="1" customWidth="1"/>
    <col min="10505" max="10505" width="20.7109375" style="1" customWidth="1"/>
    <col min="10506" max="10506" width="23.85546875" style="1" bestFit="1" customWidth="1"/>
    <col min="10507" max="10507" width="20.85546875" style="1" customWidth="1"/>
    <col min="10508" max="10508" width="20.7109375" style="1" customWidth="1"/>
    <col min="10509" max="10509" width="9.140625" style="1"/>
    <col min="10510" max="10510" width="23.140625" style="1" customWidth="1"/>
    <col min="10511" max="10511" width="9.140625" style="1"/>
    <col min="10512" max="10512" width="12.5703125" style="1" customWidth="1"/>
    <col min="10513" max="10752" width="9.140625" style="1"/>
    <col min="10753" max="10753" width="4.5703125" style="1" customWidth="1"/>
    <col min="10754" max="10754" width="60.7109375" style="1" customWidth="1"/>
    <col min="10755" max="10755" width="23.85546875" style="1" customWidth="1"/>
    <col min="10756" max="10757" width="21.140625" style="1" customWidth="1"/>
    <col min="10758" max="10758" width="20.42578125" style="1" customWidth="1"/>
    <col min="10759" max="10759" width="21" style="1" customWidth="1"/>
    <col min="10760" max="10760" width="20.85546875" style="1" customWidth="1"/>
    <col min="10761" max="10761" width="20.7109375" style="1" customWidth="1"/>
    <col min="10762" max="10762" width="23.85546875" style="1" bestFit="1" customWidth="1"/>
    <col min="10763" max="10763" width="20.85546875" style="1" customWidth="1"/>
    <col min="10764" max="10764" width="20.7109375" style="1" customWidth="1"/>
    <col min="10765" max="10765" width="9.140625" style="1"/>
    <col min="10766" max="10766" width="23.140625" style="1" customWidth="1"/>
    <col min="10767" max="10767" width="9.140625" style="1"/>
    <col min="10768" max="10768" width="12.5703125" style="1" customWidth="1"/>
    <col min="10769" max="11008" width="9.140625" style="1"/>
    <col min="11009" max="11009" width="4.5703125" style="1" customWidth="1"/>
    <col min="11010" max="11010" width="60.7109375" style="1" customWidth="1"/>
    <col min="11011" max="11011" width="23.85546875" style="1" customWidth="1"/>
    <col min="11012" max="11013" width="21.140625" style="1" customWidth="1"/>
    <col min="11014" max="11014" width="20.42578125" style="1" customWidth="1"/>
    <col min="11015" max="11015" width="21" style="1" customWidth="1"/>
    <col min="11016" max="11016" width="20.85546875" style="1" customWidth="1"/>
    <col min="11017" max="11017" width="20.7109375" style="1" customWidth="1"/>
    <col min="11018" max="11018" width="23.85546875" style="1" bestFit="1" customWidth="1"/>
    <col min="11019" max="11019" width="20.85546875" style="1" customWidth="1"/>
    <col min="11020" max="11020" width="20.7109375" style="1" customWidth="1"/>
    <col min="11021" max="11021" width="9.140625" style="1"/>
    <col min="11022" max="11022" width="23.140625" style="1" customWidth="1"/>
    <col min="11023" max="11023" width="9.140625" style="1"/>
    <col min="11024" max="11024" width="12.5703125" style="1" customWidth="1"/>
    <col min="11025" max="11264" width="9.140625" style="1"/>
    <col min="11265" max="11265" width="4.5703125" style="1" customWidth="1"/>
    <col min="11266" max="11266" width="60.7109375" style="1" customWidth="1"/>
    <col min="11267" max="11267" width="23.85546875" style="1" customWidth="1"/>
    <col min="11268" max="11269" width="21.140625" style="1" customWidth="1"/>
    <col min="11270" max="11270" width="20.42578125" style="1" customWidth="1"/>
    <col min="11271" max="11271" width="21" style="1" customWidth="1"/>
    <col min="11272" max="11272" width="20.85546875" style="1" customWidth="1"/>
    <col min="11273" max="11273" width="20.7109375" style="1" customWidth="1"/>
    <col min="11274" max="11274" width="23.85546875" style="1" bestFit="1" customWidth="1"/>
    <col min="11275" max="11275" width="20.85546875" style="1" customWidth="1"/>
    <col min="11276" max="11276" width="20.7109375" style="1" customWidth="1"/>
    <col min="11277" max="11277" width="9.140625" style="1"/>
    <col min="11278" max="11278" width="23.140625" style="1" customWidth="1"/>
    <col min="11279" max="11279" width="9.140625" style="1"/>
    <col min="11280" max="11280" width="12.5703125" style="1" customWidth="1"/>
    <col min="11281" max="11520" width="9.140625" style="1"/>
    <col min="11521" max="11521" width="4.5703125" style="1" customWidth="1"/>
    <col min="11522" max="11522" width="60.7109375" style="1" customWidth="1"/>
    <col min="11523" max="11523" width="23.85546875" style="1" customWidth="1"/>
    <col min="11524" max="11525" width="21.140625" style="1" customWidth="1"/>
    <col min="11526" max="11526" width="20.42578125" style="1" customWidth="1"/>
    <col min="11527" max="11527" width="21" style="1" customWidth="1"/>
    <col min="11528" max="11528" width="20.85546875" style="1" customWidth="1"/>
    <col min="11529" max="11529" width="20.7109375" style="1" customWidth="1"/>
    <col min="11530" max="11530" width="23.85546875" style="1" bestFit="1" customWidth="1"/>
    <col min="11531" max="11531" width="20.85546875" style="1" customWidth="1"/>
    <col min="11532" max="11532" width="20.7109375" style="1" customWidth="1"/>
    <col min="11533" max="11533" width="9.140625" style="1"/>
    <col min="11534" max="11534" width="23.140625" style="1" customWidth="1"/>
    <col min="11535" max="11535" width="9.140625" style="1"/>
    <col min="11536" max="11536" width="12.5703125" style="1" customWidth="1"/>
    <col min="11537" max="11776" width="9.140625" style="1"/>
    <col min="11777" max="11777" width="4.5703125" style="1" customWidth="1"/>
    <col min="11778" max="11778" width="60.7109375" style="1" customWidth="1"/>
    <col min="11779" max="11779" width="23.85546875" style="1" customWidth="1"/>
    <col min="11780" max="11781" width="21.140625" style="1" customWidth="1"/>
    <col min="11782" max="11782" width="20.42578125" style="1" customWidth="1"/>
    <col min="11783" max="11783" width="21" style="1" customWidth="1"/>
    <col min="11784" max="11784" width="20.85546875" style="1" customWidth="1"/>
    <col min="11785" max="11785" width="20.7109375" style="1" customWidth="1"/>
    <col min="11786" max="11786" width="23.85546875" style="1" bestFit="1" customWidth="1"/>
    <col min="11787" max="11787" width="20.85546875" style="1" customWidth="1"/>
    <col min="11788" max="11788" width="20.7109375" style="1" customWidth="1"/>
    <col min="11789" max="11789" width="9.140625" style="1"/>
    <col min="11790" max="11790" width="23.140625" style="1" customWidth="1"/>
    <col min="11791" max="11791" width="9.140625" style="1"/>
    <col min="11792" max="11792" width="12.5703125" style="1" customWidth="1"/>
    <col min="11793" max="12032" width="9.140625" style="1"/>
    <col min="12033" max="12033" width="4.5703125" style="1" customWidth="1"/>
    <col min="12034" max="12034" width="60.7109375" style="1" customWidth="1"/>
    <col min="12035" max="12035" width="23.85546875" style="1" customWidth="1"/>
    <col min="12036" max="12037" width="21.140625" style="1" customWidth="1"/>
    <col min="12038" max="12038" width="20.42578125" style="1" customWidth="1"/>
    <col min="12039" max="12039" width="21" style="1" customWidth="1"/>
    <col min="12040" max="12040" width="20.85546875" style="1" customWidth="1"/>
    <col min="12041" max="12041" width="20.7109375" style="1" customWidth="1"/>
    <col min="12042" max="12042" width="23.85546875" style="1" bestFit="1" customWidth="1"/>
    <col min="12043" max="12043" width="20.85546875" style="1" customWidth="1"/>
    <col min="12044" max="12044" width="20.7109375" style="1" customWidth="1"/>
    <col min="12045" max="12045" width="9.140625" style="1"/>
    <col min="12046" max="12046" width="23.140625" style="1" customWidth="1"/>
    <col min="12047" max="12047" width="9.140625" style="1"/>
    <col min="12048" max="12048" width="12.5703125" style="1" customWidth="1"/>
    <col min="12049" max="12288" width="9.140625" style="1"/>
    <col min="12289" max="12289" width="4.5703125" style="1" customWidth="1"/>
    <col min="12290" max="12290" width="60.7109375" style="1" customWidth="1"/>
    <col min="12291" max="12291" width="23.85546875" style="1" customWidth="1"/>
    <col min="12292" max="12293" width="21.140625" style="1" customWidth="1"/>
    <col min="12294" max="12294" width="20.42578125" style="1" customWidth="1"/>
    <col min="12295" max="12295" width="21" style="1" customWidth="1"/>
    <col min="12296" max="12296" width="20.85546875" style="1" customWidth="1"/>
    <col min="12297" max="12297" width="20.7109375" style="1" customWidth="1"/>
    <col min="12298" max="12298" width="23.85546875" style="1" bestFit="1" customWidth="1"/>
    <col min="12299" max="12299" width="20.85546875" style="1" customWidth="1"/>
    <col min="12300" max="12300" width="20.7109375" style="1" customWidth="1"/>
    <col min="12301" max="12301" width="9.140625" style="1"/>
    <col min="12302" max="12302" width="23.140625" style="1" customWidth="1"/>
    <col min="12303" max="12303" width="9.140625" style="1"/>
    <col min="12304" max="12304" width="12.5703125" style="1" customWidth="1"/>
    <col min="12305" max="12544" width="9.140625" style="1"/>
    <col min="12545" max="12545" width="4.5703125" style="1" customWidth="1"/>
    <col min="12546" max="12546" width="60.7109375" style="1" customWidth="1"/>
    <col min="12547" max="12547" width="23.85546875" style="1" customWidth="1"/>
    <col min="12548" max="12549" width="21.140625" style="1" customWidth="1"/>
    <col min="12550" max="12550" width="20.42578125" style="1" customWidth="1"/>
    <col min="12551" max="12551" width="21" style="1" customWidth="1"/>
    <col min="12552" max="12552" width="20.85546875" style="1" customWidth="1"/>
    <col min="12553" max="12553" width="20.7109375" style="1" customWidth="1"/>
    <col min="12554" max="12554" width="23.85546875" style="1" bestFit="1" customWidth="1"/>
    <col min="12555" max="12555" width="20.85546875" style="1" customWidth="1"/>
    <col min="12556" max="12556" width="20.7109375" style="1" customWidth="1"/>
    <col min="12557" max="12557" width="9.140625" style="1"/>
    <col min="12558" max="12558" width="23.140625" style="1" customWidth="1"/>
    <col min="12559" max="12559" width="9.140625" style="1"/>
    <col min="12560" max="12560" width="12.5703125" style="1" customWidth="1"/>
    <col min="12561" max="12800" width="9.140625" style="1"/>
    <col min="12801" max="12801" width="4.5703125" style="1" customWidth="1"/>
    <col min="12802" max="12802" width="60.7109375" style="1" customWidth="1"/>
    <col min="12803" max="12803" width="23.85546875" style="1" customWidth="1"/>
    <col min="12804" max="12805" width="21.140625" style="1" customWidth="1"/>
    <col min="12806" max="12806" width="20.42578125" style="1" customWidth="1"/>
    <col min="12807" max="12807" width="21" style="1" customWidth="1"/>
    <col min="12808" max="12808" width="20.85546875" style="1" customWidth="1"/>
    <col min="12809" max="12809" width="20.7109375" style="1" customWidth="1"/>
    <col min="12810" max="12810" width="23.85546875" style="1" bestFit="1" customWidth="1"/>
    <col min="12811" max="12811" width="20.85546875" style="1" customWidth="1"/>
    <col min="12812" max="12812" width="20.7109375" style="1" customWidth="1"/>
    <col min="12813" max="12813" width="9.140625" style="1"/>
    <col min="12814" max="12814" width="23.140625" style="1" customWidth="1"/>
    <col min="12815" max="12815" width="9.140625" style="1"/>
    <col min="12816" max="12816" width="12.5703125" style="1" customWidth="1"/>
    <col min="12817" max="13056" width="9.140625" style="1"/>
    <col min="13057" max="13057" width="4.5703125" style="1" customWidth="1"/>
    <col min="13058" max="13058" width="60.7109375" style="1" customWidth="1"/>
    <col min="13059" max="13059" width="23.85546875" style="1" customWidth="1"/>
    <col min="13060" max="13061" width="21.140625" style="1" customWidth="1"/>
    <col min="13062" max="13062" width="20.42578125" style="1" customWidth="1"/>
    <col min="13063" max="13063" width="21" style="1" customWidth="1"/>
    <col min="13064" max="13064" width="20.85546875" style="1" customWidth="1"/>
    <col min="13065" max="13065" width="20.7109375" style="1" customWidth="1"/>
    <col min="13066" max="13066" width="23.85546875" style="1" bestFit="1" customWidth="1"/>
    <col min="13067" max="13067" width="20.85546875" style="1" customWidth="1"/>
    <col min="13068" max="13068" width="20.7109375" style="1" customWidth="1"/>
    <col min="13069" max="13069" width="9.140625" style="1"/>
    <col min="13070" max="13070" width="23.140625" style="1" customWidth="1"/>
    <col min="13071" max="13071" width="9.140625" style="1"/>
    <col min="13072" max="13072" width="12.5703125" style="1" customWidth="1"/>
    <col min="13073" max="13312" width="9.140625" style="1"/>
    <col min="13313" max="13313" width="4.5703125" style="1" customWidth="1"/>
    <col min="13314" max="13314" width="60.7109375" style="1" customWidth="1"/>
    <col min="13315" max="13315" width="23.85546875" style="1" customWidth="1"/>
    <col min="13316" max="13317" width="21.140625" style="1" customWidth="1"/>
    <col min="13318" max="13318" width="20.42578125" style="1" customWidth="1"/>
    <col min="13319" max="13319" width="21" style="1" customWidth="1"/>
    <col min="13320" max="13320" width="20.85546875" style="1" customWidth="1"/>
    <col min="13321" max="13321" width="20.7109375" style="1" customWidth="1"/>
    <col min="13322" max="13322" width="23.85546875" style="1" bestFit="1" customWidth="1"/>
    <col min="13323" max="13323" width="20.85546875" style="1" customWidth="1"/>
    <col min="13324" max="13324" width="20.7109375" style="1" customWidth="1"/>
    <col min="13325" max="13325" width="9.140625" style="1"/>
    <col min="13326" max="13326" width="23.140625" style="1" customWidth="1"/>
    <col min="13327" max="13327" width="9.140625" style="1"/>
    <col min="13328" max="13328" width="12.5703125" style="1" customWidth="1"/>
    <col min="13329" max="13568" width="9.140625" style="1"/>
    <col min="13569" max="13569" width="4.5703125" style="1" customWidth="1"/>
    <col min="13570" max="13570" width="60.7109375" style="1" customWidth="1"/>
    <col min="13571" max="13571" width="23.85546875" style="1" customWidth="1"/>
    <col min="13572" max="13573" width="21.140625" style="1" customWidth="1"/>
    <col min="13574" max="13574" width="20.42578125" style="1" customWidth="1"/>
    <col min="13575" max="13575" width="21" style="1" customWidth="1"/>
    <col min="13576" max="13576" width="20.85546875" style="1" customWidth="1"/>
    <col min="13577" max="13577" width="20.7109375" style="1" customWidth="1"/>
    <col min="13578" max="13578" width="23.85546875" style="1" bestFit="1" customWidth="1"/>
    <col min="13579" max="13579" width="20.85546875" style="1" customWidth="1"/>
    <col min="13580" max="13580" width="20.7109375" style="1" customWidth="1"/>
    <col min="13581" max="13581" width="9.140625" style="1"/>
    <col min="13582" max="13582" width="23.140625" style="1" customWidth="1"/>
    <col min="13583" max="13583" width="9.140625" style="1"/>
    <col min="13584" max="13584" width="12.5703125" style="1" customWidth="1"/>
    <col min="13585" max="13824" width="9.140625" style="1"/>
    <col min="13825" max="13825" width="4.5703125" style="1" customWidth="1"/>
    <col min="13826" max="13826" width="60.7109375" style="1" customWidth="1"/>
    <col min="13827" max="13827" width="23.85546875" style="1" customWidth="1"/>
    <col min="13828" max="13829" width="21.140625" style="1" customWidth="1"/>
    <col min="13830" max="13830" width="20.42578125" style="1" customWidth="1"/>
    <col min="13831" max="13831" width="21" style="1" customWidth="1"/>
    <col min="13832" max="13832" width="20.85546875" style="1" customWidth="1"/>
    <col min="13833" max="13833" width="20.7109375" style="1" customWidth="1"/>
    <col min="13834" max="13834" width="23.85546875" style="1" bestFit="1" customWidth="1"/>
    <col min="13835" max="13835" width="20.85546875" style="1" customWidth="1"/>
    <col min="13836" max="13836" width="20.7109375" style="1" customWidth="1"/>
    <col min="13837" max="13837" width="9.140625" style="1"/>
    <col min="13838" max="13838" width="23.140625" style="1" customWidth="1"/>
    <col min="13839" max="13839" width="9.140625" style="1"/>
    <col min="13840" max="13840" width="12.5703125" style="1" customWidth="1"/>
    <col min="13841" max="14080" width="9.140625" style="1"/>
    <col min="14081" max="14081" width="4.5703125" style="1" customWidth="1"/>
    <col min="14082" max="14082" width="60.7109375" style="1" customWidth="1"/>
    <col min="14083" max="14083" width="23.85546875" style="1" customWidth="1"/>
    <col min="14084" max="14085" width="21.140625" style="1" customWidth="1"/>
    <col min="14086" max="14086" width="20.42578125" style="1" customWidth="1"/>
    <col min="14087" max="14087" width="21" style="1" customWidth="1"/>
    <col min="14088" max="14088" width="20.85546875" style="1" customWidth="1"/>
    <col min="14089" max="14089" width="20.7109375" style="1" customWidth="1"/>
    <col min="14090" max="14090" width="23.85546875" style="1" bestFit="1" customWidth="1"/>
    <col min="14091" max="14091" width="20.85546875" style="1" customWidth="1"/>
    <col min="14092" max="14092" width="20.7109375" style="1" customWidth="1"/>
    <col min="14093" max="14093" width="9.140625" style="1"/>
    <col min="14094" max="14094" width="23.140625" style="1" customWidth="1"/>
    <col min="14095" max="14095" width="9.140625" style="1"/>
    <col min="14096" max="14096" width="12.5703125" style="1" customWidth="1"/>
    <col min="14097" max="14336" width="9.140625" style="1"/>
    <col min="14337" max="14337" width="4.5703125" style="1" customWidth="1"/>
    <col min="14338" max="14338" width="60.7109375" style="1" customWidth="1"/>
    <col min="14339" max="14339" width="23.85546875" style="1" customWidth="1"/>
    <col min="14340" max="14341" width="21.140625" style="1" customWidth="1"/>
    <col min="14342" max="14342" width="20.42578125" style="1" customWidth="1"/>
    <col min="14343" max="14343" width="21" style="1" customWidth="1"/>
    <col min="14344" max="14344" width="20.85546875" style="1" customWidth="1"/>
    <col min="14345" max="14345" width="20.7109375" style="1" customWidth="1"/>
    <col min="14346" max="14346" width="23.85546875" style="1" bestFit="1" customWidth="1"/>
    <col min="14347" max="14347" width="20.85546875" style="1" customWidth="1"/>
    <col min="14348" max="14348" width="20.7109375" style="1" customWidth="1"/>
    <col min="14349" max="14349" width="9.140625" style="1"/>
    <col min="14350" max="14350" width="23.140625" style="1" customWidth="1"/>
    <col min="14351" max="14351" width="9.140625" style="1"/>
    <col min="14352" max="14352" width="12.5703125" style="1" customWidth="1"/>
    <col min="14353" max="14592" width="9.140625" style="1"/>
    <col min="14593" max="14593" width="4.5703125" style="1" customWidth="1"/>
    <col min="14594" max="14594" width="60.7109375" style="1" customWidth="1"/>
    <col min="14595" max="14595" width="23.85546875" style="1" customWidth="1"/>
    <col min="14596" max="14597" width="21.140625" style="1" customWidth="1"/>
    <col min="14598" max="14598" width="20.42578125" style="1" customWidth="1"/>
    <col min="14599" max="14599" width="21" style="1" customWidth="1"/>
    <col min="14600" max="14600" width="20.85546875" style="1" customWidth="1"/>
    <col min="14601" max="14601" width="20.7109375" style="1" customWidth="1"/>
    <col min="14602" max="14602" width="23.85546875" style="1" bestFit="1" customWidth="1"/>
    <col min="14603" max="14603" width="20.85546875" style="1" customWidth="1"/>
    <col min="14604" max="14604" width="20.7109375" style="1" customWidth="1"/>
    <col min="14605" max="14605" width="9.140625" style="1"/>
    <col min="14606" max="14606" width="23.140625" style="1" customWidth="1"/>
    <col min="14607" max="14607" width="9.140625" style="1"/>
    <col min="14608" max="14608" width="12.5703125" style="1" customWidth="1"/>
    <col min="14609" max="14848" width="9.140625" style="1"/>
    <col min="14849" max="14849" width="4.5703125" style="1" customWidth="1"/>
    <col min="14850" max="14850" width="60.7109375" style="1" customWidth="1"/>
    <col min="14851" max="14851" width="23.85546875" style="1" customWidth="1"/>
    <col min="14852" max="14853" width="21.140625" style="1" customWidth="1"/>
    <col min="14854" max="14854" width="20.42578125" style="1" customWidth="1"/>
    <col min="14855" max="14855" width="21" style="1" customWidth="1"/>
    <col min="14856" max="14856" width="20.85546875" style="1" customWidth="1"/>
    <col min="14857" max="14857" width="20.7109375" style="1" customWidth="1"/>
    <col min="14858" max="14858" width="23.85546875" style="1" bestFit="1" customWidth="1"/>
    <col min="14859" max="14859" width="20.85546875" style="1" customWidth="1"/>
    <col min="14860" max="14860" width="20.7109375" style="1" customWidth="1"/>
    <col min="14861" max="14861" width="9.140625" style="1"/>
    <col min="14862" max="14862" width="23.140625" style="1" customWidth="1"/>
    <col min="14863" max="14863" width="9.140625" style="1"/>
    <col min="14864" max="14864" width="12.5703125" style="1" customWidth="1"/>
    <col min="14865" max="15104" width="9.140625" style="1"/>
    <col min="15105" max="15105" width="4.5703125" style="1" customWidth="1"/>
    <col min="15106" max="15106" width="60.7109375" style="1" customWidth="1"/>
    <col min="15107" max="15107" width="23.85546875" style="1" customWidth="1"/>
    <col min="15108" max="15109" width="21.140625" style="1" customWidth="1"/>
    <col min="15110" max="15110" width="20.42578125" style="1" customWidth="1"/>
    <col min="15111" max="15111" width="21" style="1" customWidth="1"/>
    <col min="15112" max="15112" width="20.85546875" style="1" customWidth="1"/>
    <col min="15113" max="15113" width="20.7109375" style="1" customWidth="1"/>
    <col min="15114" max="15114" width="23.85546875" style="1" bestFit="1" customWidth="1"/>
    <col min="15115" max="15115" width="20.85546875" style="1" customWidth="1"/>
    <col min="15116" max="15116" width="20.7109375" style="1" customWidth="1"/>
    <col min="15117" max="15117" width="9.140625" style="1"/>
    <col min="15118" max="15118" width="23.140625" style="1" customWidth="1"/>
    <col min="15119" max="15119" width="9.140625" style="1"/>
    <col min="15120" max="15120" width="12.5703125" style="1" customWidth="1"/>
    <col min="15121" max="15360" width="9.140625" style="1"/>
    <col min="15361" max="15361" width="4.5703125" style="1" customWidth="1"/>
    <col min="15362" max="15362" width="60.7109375" style="1" customWidth="1"/>
    <col min="15363" max="15363" width="23.85546875" style="1" customWidth="1"/>
    <col min="15364" max="15365" width="21.140625" style="1" customWidth="1"/>
    <col min="15366" max="15366" width="20.42578125" style="1" customWidth="1"/>
    <col min="15367" max="15367" width="21" style="1" customWidth="1"/>
    <col min="15368" max="15368" width="20.85546875" style="1" customWidth="1"/>
    <col min="15369" max="15369" width="20.7109375" style="1" customWidth="1"/>
    <col min="15370" max="15370" width="23.85546875" style="1" bestFit="1" customWidth="1"/>
    <col min="15371" max="15371" width="20.85546875" style="1" customWidth="1"/>
    <col min="15372" max="15372" width="20.7109375" style="1" customWidth="1"/>
    <col min="15373" max="15373" width="9.140625" style="1"/>
    <col min="15374" max="15374" width="23.140625" style="1" customWidth="1"/>
    <col min="15375" max="15375" width="9.140625" style="1"/>
    <col min="15376" max="15376" width="12.5703125" style="1" customWidth="1"/>
    <col min="15377" max="15616" width="9.140625" style="1"/>
    <col min="15617" max="15617" width="4.5703125" style="1" customWidth="1"/>
    <col min="15618" max="15618" width="60.7109375" style="1" customWidth="1"/>
    <col min="15619" max="15619" width="23.85546875" style="1" customWidth="1"/>
    <col min="15620" max="15621" width="21.140625" style="1" customWidth="1"/>
    <col min="15622" max="15622" width="20.42578125" style="1" customWidth="1"/>
    <col min="15623" max="15623" width="21" style="1" customWidth="1"/>
    <col min="15624" max="15624" width="20.85546875" style="1" customWidth="1"/>
    <col min="15625" max="15625" width="20.7109375" style="1" customWidth="1"/>
    <col min="15626" max="15626" width="23.85546875" style="1" bestFit="1" customWidth="1"/>
    <col min="15627" max="15627" width="20.85546875" style="1" customWidth="1"/>
    <col min="15628" max="15628" width="20.7109375" style="1" customWidth="1"/>
    <col min="15629" max="15629" width="9.140625" style="1"/>
    <col min="15630" max="15630" width="23.140625" style="1" customWidth="1"/>
    <col min="15631" max="15631" width="9.140625" style="1"/>
    <col min="15632" max="15632" width="12.5703125" style="1" customWidth="1"/>
    <col min="15633" max="15872" width="9.140625" style="1"/>
    <col min="15873" max="15873" width="4.5703125" style="1" customWidth="1"/>
    <col min="15874" max="15874" width="60.7109375" style="1" customWidth="1"/>
    <col min="15875" max="15875" width="23.85546875" style="1" customWidth="1"/>
    <col min="15876" max="15877" width="21.140625" style="1" customWidth="1"/>
    <col min="15878" max="15878" width="20.42578125" style="1" customWidth="1"/>
    <col min="15879" max="15879" width="21" style="1" customWidth="1"/>
    <col min="15880" max="15880" width="20.85546875" style="1" customWidth="1"/>
    <col min="15881" max="15881" width="20.7109375" style="1" customWidth="1"/>
    <col min="15882" max="15882" width="23.85546875" style="1" bestFit="1" customWidth="1"/>
    <col min="15883" max="15883" width="20.85546875" style="1" customWidth="1"/>
    <col min="15884" max="15884" width="20.7109375" style="1" customWidth="1"/>
    <col min="15885" max="15885" width="9.140625" style="1"/>
    <col min="15886" max="15886" width="23.140625" style="1" customWidth="1"/>
    <col min="15887" max="15887" width="9.140625" style="1"/>
    <col min="15888" max="15888" width="12.5703125" style="1" customWidth="1"/>
    <col min="15889" max="16128" width="9.140625" style="1"/>
    <col min="16129" max="16129" width="4.5703125" style="1" customWidth="1"/>
    <col min="16130" max="16130" width="60.7109375" style="1" customWidth="1"/>
    <col min="16131" max="16131" width="23.85546875" style="1" customWidth="1"/>
    <col min="16132" max="16133" width="21.140625" style="1" customWidth="1"/>
    <col min="16134" max="16134" width="20.42578125" style="1" customWidth="1"/>
    <col min="16135" max="16135" width="21" style="1" customWidth="1"/>
    <col min="16136" max="16136" width="20.85546875" style="1" customWidth="1"/>
    <col min="16137" max="16137" width="20.7109375" style="1" customWidth="1"/>
    <col min="16138" max="16138" width="23.85546875" style="1" bestFit="1" customWidth="1"/>
    <col min="16139" max="16139" width="20.85546875" style="1" customWidth="1"/>
    <col min="16140" max="16140" width="20.7109375" style="1" customWidth="1"/>
    <col min="16141" max="16141" width="9.140625" style="1"/>
    <col min="16142" max="16142" width="23.140625" style="1" customWidth="1"/>
    <col min="16143" max="16143" width="9.140625" style="1"/>
    <col min="16144" max="16144" width="12.5703125" style="1" customWidth="1"/>
    <col min="16145" max="16384" width="9.140625" style="1"/>
  </cols>
  <sheetData>
    <row r="1" spans="1:17" ht="23.25" x14ac:dyDescent="0.35">
      <c r="C1" s="36"/>
      <c r="M1" s="614" t="s">
        <v>5</v>
      </c>
      <c r="N1" s="574"/>
      <c r="O1" s="574"/>
    </row>
    <row r="2" spans="1:17" ht="20.25" customHeight="1" x14ac:dyDescent="0.35">
      <c r="C2" s="545" t="s">
        <v>60</v>
      </c>
      <c r="D2" s="545"/>
      <c r="E2" s="545"/>
      <c r="F2" s="545"/>
      <c r="G2" s="545"/>
      <c r="H2" s="545"/>
      <c r="I2" s="545"/>
      <c r="J2" s="545"/>
      <c r="K2" s="545"/>
      <c r="L2" s="545"/>
      <c r="M2" s="545"/>
      <c r="N2" s="545"/>
      <c r="O2" s="545"/>
    </row>
    <row r="3" spans="1:17" ht="20.25" customHeight="1" x14ac:dyDescent="0.35">
      <c r="A3" s="2"/>
      <c r="C3" s="545" t="s">
        <v>111</v>
      </c>
      <c r="D3" s="545"/>
      <c r="E3" s="545"/>
      <c r="F3" s="545"/>
      <c r="G3" s="545"/>
      <c r="H3" s="545"/>
      <c r="I3" s="545"/>
      <c r="J3" s="545"/>
      <c r="K3" s="545"/>
      <c r="L3" s="545"/>
      <c r="M3" s="545"/>
      <c r="N3" s="545"/>
      <c r="O3" s="545"/>
    </row>
    <row r="4" spans="1:17" ht="20.25" customHeight="1" x14ac:dyDescent="0.35">
      <c r="A4" s="2"/>
      <c r="C4" s="545" t="s">
        <v>61</v>
      </c>
      <c r="D4" s="545"/>
      <c r="E4" s="545"/>
      <c r="F4" s="545"/>
      <c r="G4" s="545"/>
      <c r="H4" s="545"/>
      <c r="I4" s="545"/>
      <c r="J4" s="545"/>
      <c r="K4" s="545"/>
      <c r="L4" s="545"/>
      <c r="M4" s="545"/>
      <c r="N4" s="545"/>
      <c r="O4" s="545"/>
    </row>
    <row r="5" spans="1:17" ht="20.25" customHeight="1" thickBot="1" x14ac:dyDescent="0.35">
      <c r="A5" s="2"/>
      <c r="C5" s="613"/>
      <c r="D5" s="613"/>
      <c r="E5" s="613"/>
      <c r="F5" s="613"/>
      <c r="G5" s="613"/>
      <c r="H5" s="613"/>
      <c r="I5" s="613"/>
      <c r="J5" s="613"/>
      <c r="K5" s="613"/>
      <c r="L5" s="613"/>
      <c r="M5" s="613"/>
      <c r="N5" s="613"/>
      <c r="O5" s="613"/>
    </row>
    <row r="6" spans="1:17" s="7" customFormat="1" ht="17.25" customHeight="1" x14ac:dyDescent="0.25">
      <c r="A6" s="6"/>
      <c r="B6" s="223"/>
      <c r="C6" s="200"/>
      <c r="D6" s="166">
        <v>2013</v>
      </c>
      <c r="E6" s="166">
        <v>2014</v>
      </c>
      <c r="F6" s="166">
        <v>2015</v>
      </c>
      <c r="G6" s="166">
        <v>2016</v>
      </c>
      <c r="H6" s="166">
        <v>2017</v>
      </c>
      <c r="I6" s="166">
        <v>2018</v>
      </c>
      <c r="J6" s="166">
        <v>2019</v>
      </c>
      <c r="K6" s="166">
        <v>2020</v>
      </c>
      <c r="L6" s="166">
        <v>2021</v>
      </c>
      <c r="M6" s="166">
        <v>2022</v>
      </c>
      <c r="N6" s="166">
        <v>2023</v>
      </c>
      <c r="O6" s="166">
        <v>2024</v>
      </c>
    </row>
    <row r="7" spans="1:17" ht="17.25" customHeight="1" x14ac:dyDescent="0.25">
      <c r="A7" s="6"/>
      <c r="B7" s="223"/>
      <c r="C7" s="201"/>
      <c r="D7" s="170" t="s">
        <v>62</v>
      </c>
      <c r="E7" s="170" t="s">
        <v>62</v>
      </c>
      <c r="F7" s="170" t="s">
        <v>62</v>
      </c>
      <c r="G7" s="170" t="s">
        <v>62</v>
      </c>
      <c r="H7" s="170" t="s">
        <v>62</v>
      </c>
      <c r="I7" s="170" t="s">
        <v>62</v>
      </c>
      <c r="J7" s="170" t="s">
        <v>62</v>
      </c>
      <c r="K7" s="170" t="s">
        <v>62</v>
      </c>
      <c r="L7" s="170" t="s">
        <v>62</v>
      </c>
      <c r="M7" s="170" t="s">
        <v>209</v>
      </c>
      <c r="N7" s="170" t="s">
        <v>209</v>
      </c>
      <c r="O7" s="170" t="s">
        <v>209</v>
      </c>
    </row>
    <row r="8" spans="1:17" ht="16.5" customHeight="1" x14ac:dyDescent="0.25">
      <c r="A8" s="6"/>
      <c r="B8" s="223"/>
      <c r="C8" s="169" t="s">
        <v>140</v>
      </c>
      <c r="D8" s="170"/>
      <c r="E8" s="170"/>
      <c r="F8" s="170"/>
      <c r="G8" s="170"/>
      <c r="H8" s="170"/>
      <c r="I8" s="170"/>
      <c r="J8" s="170"/>
      <c r="K8" s="170"/>
      <c r="L8" s="170"/>
      <c r="M8" s="170"/>
      <c r="N8" s="170"/>
      <c r="O8" s="170"/>
    </row>
    <row r="9" spans="1:17" ht="18.75" thickBot="1" x14ac:dyDescent="0.3">
      <c r="A9" s="6"/>
      <c r="B9" s="223"/>
      <c r="C9" s="203"/>
      <c r="D9" s="291"/>
      <c r="E9" s="291"/>
      <c r="F9" s="291"/>
      <c r="G9" s="291"/>
      <c r="H9" s="291"/>
      <c r="I9" s="291"/>
      <c r="J9" s="291"/>
      <c r="K9" s="291"/>
      <c r="L9" s="291"/>
      <c r="M9" s="291"/>
      <c r="N9" s="291"/>
      <c r="O9" s="291"/>
    </row>
    <row r="10" spans="1:17" s="8" customFormat="1" ht="22.5" customHeight="1" thickBot="1" x14ac:dyDescent="0.3">
      <c r="A10" s="6"/>
      <c r="B10" s="223"/>
      <c r="C10" s="541" t="s">
        <v>8</v>
      </c>
      <c r="D10" s="541"/>
      <c r="E10" s="541"/>
      <c r="F10" s="541"/>
      <c r="G10" s="541"/>
      <c r="H10" s="541"/>
      <c r="I10" s="541"/>
      <c r="J10" s="541"/>
      <c r="K10" s="541"/>
      <c r="L10" s="541"/>
      <c r="M10" s="541"/>
      <c r="N10" s="541"/>
      <c r="O10" s="541"/>
      <c r="Q10" s="8" t="s">
        <v>329</v>
      </c>
    </row>
    <row r="11" spans="1:17" s="2" customFormat="1" ht="24.75" customHeight="1" thickBot="1" x14ac:dyDescent="0.3">
      <c r="A11" s="9" t="s">
        <v>0</v>
      </c>
      <c r="B11" s="224"/>
      <c r="C11" s="177" t="s">
        <v>126</v>
      </c>
      <c r="D11" s="309">
        <v>53957</v>
      </c>
      <c r="E11" s="309">
        <v>89996.57</v>
      </c>
      <c r="F11" s="309">
        <v>136229</v>
      </c>
      <c r="G11" s="309">
        <v>107504</v>
      </c>
      <c r="H11" s="309">
        <v>124495</v>
      </c>
      <c r="I11" s="309">
        <v>141403</v>
      </c>
      <c r="J11" s="309">
        <v>179078</v>
      </c>
      <c r="K11" s="309">
        <v>103785</v>
      </c>
      <c r="L11" s="309">
        <v>138016</v>
      </c>
      <c r="M11" s="309">
        <f>'[15] Eversource Gas_Table B'!$M8</f>
        <v>89499.343121939324</v>
      </c>
      <c r="N11" s="309">
        <f>'[15] Eversource Gas_Table B'!$M32</f>
        <v>60707.988383136151</v>
      </c>
      <c r="O11" s="309">
        <f>'[15] Eversource Gas_Table B'!$M55</f>
        <v>2355.2592804767532</v>
      </c>
      <c r="Q11" s="498">
        <f>L11*0.1029</f>
        <v>14201.8464</v>
      </c>
    </row>
    <row r="12" spans="1:17" s="2" customFormat="1" ht="54.75" thickBot="1" x14ac:dyDescent="0.3">
      <c r="A12" s="9" t="s">
        <v>0</v>
      </c>
      <c r="B12" s="224"/>
      <c r="C12" s="479" t="s">
        <v>314</v>
      </c>
      <c r="D12" s="309">
        <v>238394.91999999998</v>
      </c>
      <c r="E12" s="309">
        <v>303919</v>
      </c>
      <c r="F12" s="309">
        <f>99711+57725+1032</f>
        <v>158468</v>
      </c>
      <c r="G12" s="309">
        <v>232197</v>
      </c>
      <c r="H12" s="309">
        <v>325962</v>
      </c>
      <c r="I12" s="309">
        <v>187700</v>
      </c>
      <c r="J12" s="309">
        <v>275034</v>
      </c>
      <c r="K12" s="309">
        <v>239628</v>
      </c>
      <c r="L12" s="309">
        <v>343527.79</v>
      </c>
      <c r="M12" s="309">
        <f>'[15] Eversource Gas_Table B'!$M9</f>
        <v>103230.19473276936</v>
      </c>
      <c r="N12" s="309">
        <f>'[15] Eversource Gas_Table B'!$M33</f>
        <v>166878.16982596513</v>
      </c>
      <c r="O12" s="309">
        <f>'[15] Eversource Gas_Table B'!$M56</f>
        <v>193423.29859109435</v>
      </c>
      <c r="Q12" s="498">
        <f>L12*0.1029</f>
        <v>35349.009591000002</v>
      </c>
    </row>
    <row r="13" spans="1:17" s="2" customFormat="1" ht="18.75" thickBot="1" x14ac:dyDescent="0.3">
      <c r="A13" s="9"/>
      <c r="B13" s="224"/>
      <c r="C13" s="479" t="s">
        <v>348</v>
      </c>
      <c r="D13" s="310">
        <v>0</v>
      </c>
      <c r="E13" s="310">
        <v>0</v>
      </c>
      <c r="F13" s="309">
        <v>0</v>
      </c>
      <c r="G13" s="309">
        <v>242925</v>
      </c>
      <c r="H13" s="309">
        <v>267816</v>
      </c>
      <c r="I13" s="309">
        <v>413231</v>
      </c>
      <c r="J13" s="309">
        <v>345175</v>
      </c>
      <c r="K13" s="309">
        <v>509323</v>
      </c>
      <c r="L13" s="309">
        <v>511470.69</v>
      </c>
      <c r="M13" s="309">
        <f>'[15] Eversource Gas_Table B'!$M10</f>
        <v>433103.32850833371</v>
      </c>
      <c r="N13" s="309">
        <f>'[15] Eversource Gas_Table B'!$M34</f>
        <v>588569.70829505636</v>
      </c>
      <c r="O13" s="309">
        <f>'[15] Eversource Gas_Table B'!$M57</f>
        <v>589125.10589930927</v>
      </c>
      <c r="Q13" s="498">
        <f>L13*0.1029</f>
        <v>52630.334001000003</v>
      </c>
    </row>
    <row r="14" spans="1:17" s="2" customFormat="1" ht="22.5" customHeight="1" thickBot="1" x14ac:dyDescent="0.3">
      <c r="A14" s="9"/>
      <c r="B14" s="224"/>
      <c r="C14" s="177" t="s">
        <v>135</v>
      </c>
      <c r="D14" s="310">
        <v>17015</v>
      </c>
      <c r="E14" s="310">
        <v>45588</v>
      </c>
      <c r="F14" s="310">
        <v>29764</v>
      </c>
      <c r="G14" s="310">
        <v>0</v>
      </c>
      <c r="H14" s="310">
        <v>0</v>
      </c>
      <c r="I14" s="310">
        <v>0</v>
      </c>
      <c r="J14" s="310">
        <v>0</v>
      </c>
      <c r="K14" s="310">
        <v>0</v>
      </c>
      <c r="L14" s="310">
        <v>0</v>
      </c>
      <c r="M14" s="310">
        <v>0</v>
      </c>
      <c r="N14" s="310">
        <v>0</v>
      </c>
      <c r="O14" s="310">
        <v>0</v>
      </c>
    </row>
    <row r="15" spans="1:17" s="2" customFormat="1" ht="25.5" customHeight="1" thickBot="1" x14ac:dyDescent="0.3">
      <c r="A15" s="9"/>
      <c r="B15" s="224"/>
      <c r="C15" s="177" t="s">
        <v>134</v>
      </c>
      <c r="D15" s="310">
        <v>7132</v>
      </c>
      <c r="E15" s="310">
        <f>3178+1876+43497.7</f>
        <v>48551.7</v>
      </c>
      <c r="F15" s="310">
        <v>0</v>
      </c>
      <c r="G15" s="310">
        <v>0</v>
      </c>
      <c r="H15" s="310">
        <v>0</v>
      </c>
      <c r="I15" s="310">
        <v>0</v>
      </c>
      <c r="J15" s="310">
        <v>0</v>
      </c>
      <c r="K15" s="310">
        <v>0</v>
      </c>
      <c r="L15" s="310">
        <v>0</v>
      </c>
      <c r="M15" s="310">
        <v>0</v>
      </c>
      <c r="N15" s="310">
        <v>0</v>
      </c>
      <c r="O15" s="310">
        <v>0</v>
      </c>
    </row>
    <row r="16" spans="1:17" s="2" customFormat="1" ht="36.75" thickBot="1" x14ac:dyDescent="0.3">
      <c r="A16" s="9"/>
      <c r="B16" s="224"/>
      <c r="C16" s="295" t="s">
        <v>235</v>
      </c>
      <c r="D16" s="310">
        <v>41477</v>
      </c>
      <c r="E16" s="310">
        <f>133167</f>
        <v>133167</v>
      </c>
      <c r="F16" s="310">
        <f>59817+142323</f>
        <v>202140</v>
      </c>
      <c r="G16" s="310">
        <v>0</v>
      </c>
      <c r="H16" s="310">
        <v>0</v>
      </c>
      <c r="I16" s="310">
        <v>0</v>
      </c>
      <c r="J16" s="310">
        <v>0</v>
      </c>
      <c r="K16" s="310">
        <v>0</v>
      </c>
      <c r="L16" s="310">
        <v>0</v>
      </c>
      <c r="M16" s="310">
        <v>0</v>
      </c>
      <c r="N16" s="310">
        <v>0</v>
      </c>
      <c r="O16" s="310">
        <v>0</v>
      </c>
    </row>
    <row r="17" spans="1:17" s="2" customFormat="1" ht="18.75" thickBot="1" x14ac:dyDescent="0.3">
      <c r="A17" s="9"/>
      <c r="B17" s="224"/>
      <c r="C17" s="177" t="s">
        <v>133</v>
      </c>
      <c r="D17" s="310">
        <v>2516</v>
      </c>
      <c r="E17" s="310">
        <v>5078</v>
      </c>
      <c r="F17" s="310">
        <v>3226</v>
      </c>
      <c r="G17" s="310">
        <v>0</v>
      </c>
      <c r="H17" s="310">
        <v>0</v>
      </c>
      <c r="I17" s="310">
        <v>0</v>
      </c>
      <c r="J17" s="310">
        <v>0</v>
      </c>
      <c r="K17" s="310">
        <v>0</v>
      </c>
      <c r="L17" s="310">
        <v>0</v>
      </c>
      <c r="M17" s="310">
        <v>0</v>
      </c>
      <c r="N17" s="310">
        <v>0</v>
      </c>
      <c r="O17" s="310">
        <v>0</v>
      </c>
    </row>
    <row r="18" spans="1:17" s="2" customFormat="1" ht="21.75" customHeight="1" thickBot="1" x14ac:dyDescent="0.3">
      <c r="A18" s="9"/>
      <c r="B18" s="224"/>
      <c r="C18" s="314" t="s">
        <v>233</v>
      </c>
      <c r="D18" s="313">
        <f>SUM(D12:D17)</f>
        <v>306534.92</v>
      </c>
      <c r="E18" s="313">
        <f>SUM(E12:E17)</f>
        <v>536303.69999999995</v>
      </c>
      <c r="F18" s="313">
        <f t="shared" ref="F18" si="0">SUM(F12:F17)</f>
        <v>393598</v>
      </c>
      <c r="G18" s="313">
        <v>0</v>
      </c>
      <c r="H18" s="313">
        <v>0</v>
      </c>
      <c r="I18" s="313">
        <v>0</v>
      </c>
      <c r="J18" s="313">
        <v>0</v>
      </c>
      <c r="K18" s="313">
        <v>0</v>
      </c>
      <c r="L18" s="313">
        <v>0</v>
      </c>
      <c r="M18" s="313">
        <v>0</v>
      </c>
      <c r="N18" s="313">
        <v>0</v>
      </c>
      <c r="O18" s="313">
        <v>0</v>
      </c>
    </row>
    <row r="19" spans="1:17" s="6" customFormat="1" ht="18.75" thickBot="1" x14ac:dyDescent="0.3">
      <c r="A19" s="9" t="s">
        <v>5</v>
      </c>
      <c r="B19" s="224"/>
      <c r="C19" s="177" t="s">
        <v>230</v>
      </c>
      <c r="D19" s="309">
        <v>415929.73</v>
      </c>
      <c r="E19" s="309">
        <v>593666.96</v>
      </c>
      <c r="F19" s="309">
        <v>420481</v>
      </c>
      <c r="G19" s="309">
        <v>412516</v>
      </c>
      <c r="H19" s="309">
        <v>416211</v>
      </c>
      <c r="I19" s="309">
        <v>369070</v>
      </c>
      <c r="J19" s="309">
        <v>273617</v>
      </c>
      <c r="K19" s="309">
        <v>220597</v>
      </c>
      <c r="L19" s="309">
        <v>289412</v>
      </c>
      <c r="M19" s="309">
        <f>'[15] Eversource Gas_Table B'!$M$11</f>
        <v>141243.40997267934</v>
      </c>
      <c r="N19" s="309">
        <f>'[15] Eversource Gas_Table B'!$M$35</f>
        <v>202875.95814940636</v>
      </c>
      <c r="O19" s="309">
        <f>'[15] Eversource Gas_Table B'!$M58</f>
        <v>207789.13205201871</v>
      </c>
      <c r="Q19" s="498">
        <f>L19*0.1029</f>
        <v>29780.4948</v>
      </c>
    </row>
    <row r="20" spans="1:17" s="2" customFormat="1" ht="18.75" thickBot="1" x14ac:dyDescent="0.3">
      <c r="A20" s="9" t="s">
        <v>0</v>
      </c>
      <c r="B20" s="224"/>
      <c r="C20" s="177" t="s">
        <v>127</v>
      </c>
      <c r="D20" s="309">
        <v>2812</v>
      </c>
      <c r="E20" s="309">
        <v>49271.65</v>
      </c>
      <c r="F20" s="309">
        <v>70702</v>
      </c>
      <c r="G20" s="309">
        <v>0</v>
      </c>
      <c r="H20" s="309">
        <v>0</v>
      </c>
      <c r="I20" s="309">
        <v>0</v>
      </c>
      <c r="J20" s="309">
        <v>0</v>
      </c>
      <c r="K20" s="309">
        <v>0</v>
      </c>
      <c r="L20" s="309">
        <v>0</v>
      </c>
      <c r="M20" s="309">
        <v>0</v>
      </c>
      <c r="N20" s="309">
        <v>0</v>
      </c>
      <c r="O20" s="309">
        <v>0</v>
      </c>
    </row>
    <row r="21" spans="1:17" s="2" customFormat="1" ht="18.75" thickBot="1" x14ac:dyDescent="0.3">
      <c r="A21" s="9"/>
      <c r="B21" s="224"/>
      <c r="C21" s="177" t="s">
        <v>194</v>
      </c>
      <c r="D21" s="309">
        <v>0</v>
      </c>
      <c r="E21" s="309">
        <v>0</v>
      </c>
      <c r="F21" s="309">
        <v>0</v>
      </c>
      <c r="G21" s="309">
        <v>0</v>
      </c>
      <c r="H21" s="309">
        <v>321474.29478496668</v>
      </c>
      <c r="I21" s="309">
        <v>47498</v>
      </c>
      <c r="J21" s="309">
        <v>93782</v>
      </c>
      <c r="K21" s="309">
        <f>[16]EG_Table_B!$M$36</f>
        <v>0</v>
      </c>
      <c r="L21" s="309">
        <v>0</v>
      </c>
      <c r="M21" s="309">
        <f>'[15] Eversource Gas_Table B'!$M$12</f>
        <v>9218</v>
      </c>
      <c r="N21" s="309">
        <f>'[15] Eversource Gas_Table B'!$M$36</f>
        <v>9218</v>
      </c>
      <c r="O21" s="309">
        <f>'[15] Eversource Gas_Table B'!$M59</f>
        <v>9218</v>
      </c>
      <c r="Q21" s="498">
        <f>L21*0.1029</f>
        <v>0</v>
      </c>
    </row>
    <row r="22" spans="1:17" ht="18.75" thickBot="1" x14ac:dyDescent="0.3">
      <c r="A22" s="6"/>
      <c r="B22" s="223"/>
      <c r="C22" s="176" t="s">
        <v>213</v>
      </c>
      <c r="D22" s="313">
        <f t="shared" ref="D22:E22" si="1">D11+D18+SUM(D19:D21)</f>
        <v>779233.64999999991</v>
      </c>
      <c r="E22" s="313">
        <f t="shared" si="1"/>
        <v>1269238.8799999999</v>
      </c>
      <c r="F22" s="313">
        <f>F11+F18+SUM(F19:F21)</f>
        <v>1021010</v>
      </c>
      <c r="G22" s="313">
        <f>G11+G12+G13+G19+G21</f>
        <v>995142</v>
      </c>
      <c r="H22" s="313">
        <f t="shared" ref="H22:O22" si="2">H11+H12+H13+H19+H21</f>
        <v>1455958.2947849666</v>
      </c>
      <c r="I22" s="313">
        <f t="shared" si="2"/>
        <v>1158902</v>
      </c>
      <c r="J22" s="313">
        <f t="shared" si="2"/>
        <v>1166686</v>
      </c>
      <c r="K22" s="313">
        <f t="shared" si="2"/>
        <v>1073333</v>
      </c>
      <c r="L22" s="313">
        <f t="shared" si="2"/>
        <v>1282426.48</v>
      </c>
      <c r="M22" s="313">
        <f t="shared" si="2"/>
        <v>776294.27633572172</v>
      </c>
      <c r="N22" s="313">
        <f t="shared" si="2"/>
        <v>1028249.824653564</v>
      </c>
      <c r="O22" s="313">
        <f t="shared" si="2"/>
        <v>1001910.7958228991</v>
      </c>
      <c r="Q22" s="499">
        <f>SUM(Q11:Q21)</f>
        <v>131961.68479199999</v>
      </c>
    </row>
    <row r="23" spans="1:17" s="2" customFormat="1" ht="21" customHeight="1" thickBot="1" x14ac:dyDescent="0.3">
      <c r="A23" s="8"/>
      <c r="B23" s="223"/>
      <c r="C23" s="542" t="s">
        <v>1</v>
      </c>
      <c r="D23" s="542"/>
      <c r="E23" s="542"/>
      <c r="F23" s="542"/>
      <c r="G23" s="542"/>
      <c r="H23" s="542"/>
      <c r="I23" s="542"/>
      <c r="J23" s="542"/>
      <c r="K23" s="542"/>
      <c r="L23" s="542"/>
      <c r="M23" s="542"/>
      <c r="N23" s="542"/>
      <c r="O23" s="542"/>
    </row>
    <row r="24" spans="1:17" ht="18.75" thickBot="1" x14ac:dyDescent="0.3">
      <c r="A24" s="10" t="s">
        <v>2</v>
      </c>
      <c r="B24" s="223"/>
      <c r="C24" s="177" t="s">
        <v>94</v>
      </c>
      <c r="D24" s="309">
        <v>259919</v>
      </c>
      <c r="E24" s="309">
        <v>505345.67</v>
      </c>
      <c r="F24" s="309">
        <v>774336</v>
      </c>
      <c r="G24" s="309">
        <v>458721</v>
      </c>
      <c r="H24" s="309">
        <v>324249</v>
      </c>
      <c r="I24" s="309">
        <v>344946</v>
      </c>
      <c r="J24" s="309">
        <v>502704</v>
      </c>
      <c r="K24" s="309">
        <v>617984</v>
      </c>
      <c r="L24" s="309">
        <v>406196</v>
      </c>
      <c r="M24" s="309">
        <f>'[15] Eversource Gas_Table B'!$M15</f>
        <v>382216.80365584226</v>
      </c>
      <c r="N24" s="309">
        <f>'[15] Eversource Gas_Table B'!$M39</f>
        <v>408482.74473552458</v>
      </c>
      <c r="O24" s="309">
        <f>'[15] Eversource Gas_Table B'!$M62</f>
        <v>410214.46572667034</v>
      </c>
      <c r="Q24" s="498">
        <f>L24*0.1029</f>
        <v>41797.568400000004</v>
      </c>
    </row>
    <row r="25" spans="1:17" ht="25.5" customHeight="1" thickBot="1" x14ac:dyDescent="0.3">
      <c r="A25" s="10" t="s">
        <v>2</v>
      </c>
      <c r="B25" s="223"/>
      <c r="C25" s="177" t="s">
        <v>48</v>
      </c>
      <c r="D25" s="309">
        <v>481474</v>
      </c>
      <c r="E25" s="309">
        <v>614294.32999999996</v>
      </c>
      <c r="F25" s="309">
        <v>459661</v>
      </c>
      <c r="G25" s="309">
        <v>826143</v>
      </c>
      <c r="H25" s="309">
        <v>859518</v>
      </c>
      <c r="I25" s="309">
        <v>862082</v>
      </c>
      <c r="J25" s="309">
        <v>747875</v>
      </c>
      <c r="K25" s="309">
        <v>449859.24</v>
      </c>
      <c r="L25" s="309">
        <v>355809</v>
      </c>
      <c r="M25" s="309">
        <f>'[15] Eversource Gas_Table B'!$M16</f>
        <v>184451.42963854549</v>
      </c>
      <c r="N25" s="309">
        <f>'[15] Eversource Gas_Table B'!$M40</f>
        <v>605511.60396453075</v>
      </c>
      <c r="O25" s="309">
        <f>'[15] Eversource Gas_Table B'!$M63</f>
        <v>594405.33223273943</v>
      </c>
      <c r="Q25" s="498">
        <f>L25*0.1029</f>
        <v>36612.746100000004</v>
      </c>
    </row>
    <row r="26" spans="1:17" ht="36.75" thickBot="1" x14ac:dyDescent="0.3">
      <c r="A26" s="10" t="s">
        <v>2</v>
      </c>
      <c r="B26" s="223"/>
      <c r="C26" s="295" t="s">
        <v>320</v>
      </c>
      <c r="D26" s="309">
        <v>53261</v>
      </c>
      <c r="E26" s="309">
        <v>164777.35</v>
      </c>
      <c r="F26" s="309">
        <v>192358</v>
      </c>
      <c r="G26" s="309">
        <v>562290</v>
      </c>
      <c r="H26" s="309">
        <v>563752</v>
      </c>
      <c r="I26" s="309">
        <v>405861</v>
      </c>
      <c r="J26" s="309">
        <v>472544</v>
      </c>
      <c r="K26" s="309">
        <v>329092.40000000002</v>
      </c>
      <c r="L26" s="309">
        <v>296307.15999999997</v>
      </c>
      <c r="M26" s="309">
        <f>'[15] Eversource Gas_Table B'!$M17</f>
        <v>129383.47017249354</v>
      </c>
      <c r="N26" s="309">
        <f>'[15] Eversource Gas_Table B'!$M41</f>
        <v>245623.2224079693</v>
      </c>
      <c r="O26" s="309">
        <f>'[15] Eversource Gas_Table B'!$M64</f>
        <v>244275.30405862979</v>
      </c>
      <c r="Q26" s="498">
        <f>L26*0.1029</f>
        <v>30490.006763999998</v>
      </c>
    </row>
    <row r="27" spans="1:17" ht="18.75" thickBot="1" x14ac:dyDescent="0.3">
      <c r="A27" s="10" t="s">
        <v>2</v>
      </c>
      <c r="B27" s="223"/>
      <c r="C27" s="177" t="s">
        <v>128</v>
      </c>
      <c r="D27" s="309">
        <v>72421.62</v>
      </c>
      <c r="E27" s="309">
        <v>57987.29</v>
      </c>
      <c r="F27" s="309">
        <v>53878</v>
      </c>
      <c r="G27" s="309">
        <v>66201</v>
      </c>
      <c r="H27" s="309">
        <v>95808</v>
      </c>
      <c r="I27" s="309">
        <v>104112</v>
      </c>
      <c r="J27" s="309">
        <v>53932</v>
      </c>
      <c r="K27" s="309">
        <v>3973</v>
      </c>
      <c r="L27" s="309">
        <v>18899</v>
      </c>
      <c r="M27" s="309">
        <f>'[15] Eversource Gas_Table B'!$M18</f>
        <v>56973.736771722964</v>
      </c>
      <c r="N27" s="309">
        <f>'[15] Eversource Gas_Table B'!$M42</f>
        <v>91784.276395300505</v>
      </c>
      <c r="O27" s="309">
        <f>'[15] Eversource Gas_Table B'!$M65</f>
        <v>93780.26132940354</v>
      </c>
      <c r="Q27" s="498">
        <f>L27*0.1029</f>
        <v>1944.7071000000001</v>
      </c>
    </row>
    <row r="28" spans="1:17" s="13" customFormat="1" ht="18.75" thickBot="1" x14ac:dyDescent="0.3">
      <c r="A28" s="12"/>
      <c r="B28" s="225"/>
      <c r="C28" s="184" t="s">
        <v>234</v>
      </c>
      <c r="D28" s="308">
        <f>SUM(D24:D27)</f>
        <v>867075.62</v>
      </c>
      <c r="E28" s="308">
        <f t="shared" ref="E28:O28" si="3">SUM(E24:E27)</f>
        <v>1342404.6400000001</v>
      </c>
      <c r="F28" s="308">
        <f t="shared" si="3"/>
        <v>1480233</v>
      </c>
      <c r="G28" s="308">
        <f t="shared" si="3"/>
        <v>1913355</v>
      </c>
      <c r="H28" s="308">
        <f t="shared" si="3"/>
        <v>1843327</v>
      </c>
      <c r="I28" s="308">
        <f t="shared" si="3"/>
        <v>1717001</v>
      </c>
      <c r="J28" s="308">
        <f t="shared" si="3"/>
        <v>1777055</v>
      </c>
      <c r="K28" s="308">
        <f t="shared" si="3"/>
        <v>1400908.6400000001</v>
      </c>
      <c r="L28" s="308">
        <f t="shared" si="3"/>
        <v>1077211.1599999999</v>
      </c>
      <c r="M28" s="308">
        <f t="shared" si="3"/>
        <v>753025.44023860432</v>
      </c>
      <c r="N28" s="308">
        <f t="shared" si="3"/>
        <v>1351401.847503325</v>
      </c>
      <c r="O28" s="308">
        <f t="shared" si="3"/>
        <v>1342675.3633474433</v>
      </c>
      <c r="Q28" s="500">
        <f>SUM(Q24:Q27)</f>
        <v>110845.028364</v>
      </c>
    </row>
    <row r="29" spans="1:17" s="11" customFormat="1" ht="18.75" hidden="1" thickBot="1" x14ac:dyDescent="0.3">
      <c r="A29" s="8"/>
      <c r="B29" s="223"/>
      <c r="C29" s="184" t="s">
        <v>17</v>
      </c>
      <c r="D29" s="311"/>
      <c r="E29" s="311"/>
      <c r="F29" s="311"/>
      <c r="G29" s="311"/>
      <c r="H29" s="311"/>
      <c r="I29" s="311"/>
      <c r="J29" s="311"/>
      <c r="K29" s="311"/>
      <c r="L29" s="311"/>
      <c r="M29" s="311"/>
      <c r="N29" s="311"/>
      <c r="O29" s="311"/>
    </row>
    <row r="30" spans="1:17" s="16" customFormat="1" ht="18.75" hidden="1" thickBot="1" x14ac:dyDescent="0.3">
      <c r="A30" s="15"/>
      <c r="B30" s="228"/>
      <c r="C30" s="190" t="s">
        <v>6</v>
      </c>
      <c r="D30" s="312">
        <f t="shared" ref="D30:O30" si="4">D22</f>
        <v>779233.64999999991</v>
      </c>
      <c r="E30" s="312">
        <f t="shared" si="4"/>
        <v>1269238.8799999999</v>
      </c>
      <c r="F30" s="312">
        <f t="shared" si="4"/>
        <v>1021010</v>
      </c>
      <c r="G30" s="312">
        <f t="shared" si="4"/>
        <v>995142</v>
      </c>
      <c r="H30" s="312">
        <f t="shared" si="4"/>
        <v>1455958.2947849666</v>
      </c>
      <c r="I30" s="312">
        <f t="shared" si="4"/>
        <v>1158902</v>
      </c>
      <c r="J30" s="312">
        <f t="shared" si="4"/>
        <v>1166686</v>
      </c>
      <c r="K30" s="312">
        <f t="shared" si="4"/>
        <v>1073333</v>
      </c>
      <c r="L30" s="312">
        <f t="shared" si="4"/>
        <v>1282426.48</v>
      </c>
      <c r="M30" s="312">
        <f t="shared" si="4"/>
        <v>776294.27633572172</v>
      </c>
      <c r="N30" s="312">
        <f t="shared" si="4"/>
        <v>1028249.824653564</v>
      </c>
      <c r="O30" s="312">
        <f t="shared" si="4"/>
        <v>1001910.7958228991</v>
      </c>
      <c r="P30" s="73"/>
    </row>
    <row r="31" spans="1:17" s="16" customFormat="1" ht="18.75" hidden="1" thickBot="1" x14ac:dyDescent="0.3">
      <c r="A31" s="15"/>
      <c r="B31" s="228"/>
      <c r="C31" s="190" t="s">
        <v>7</v>
      </c>
      <c r="D31" s="312">
        <f t="shared" ref="D31:I31" si="5">D28</f>
        <v>867075.62</v>
      </c>
      <c r="E31" s="312">
        <f t="shared" si="5"/>
        <v>1342404.6400000001</v>
      </c>
      <c r="F31" s="312">
        <f t="shared" si="5"/>
        <v>1480233</v>
      </c>
      <c r="G31" s="312">
        <f t="shared" si="5"/>
        <v>1913355</v>
      </c>
      <c r="H31" s="312">
        <f t="shared" si="5"/>
        <v>1843327</v>
      </c>
      <c r="I31" s="312">
        <f t="shared" si="5"/>
        <v>1717001</v>
      </c>
      <c r="J31" s="312">
        <f t="shared" ref="J31:O31" si="6">J28</f>
        <v>1777055</v>
      </c>
      <c r="K31" s="312">
        <f t="shared" si="6"/>
        <v>1400908.6400000001</v>
      </c>
      <c r="L31" s="312">
        <f t="shared" si="6"/>
        <v>1077211.1599999999</v>
      </c>
      <c r="M31" s="312">
        <f t="shared" si="6"/>
        <v>753025.44023860432</v>
      </c>
      <c r="N31" s="312">
        <f t="shared" si="6"/>
        <v>1351401.847503325</v>
      </c>
      <c r="O31" s="312">
        <f t="shared" si="6"/>
        <v>1342675.3633474433</v>
      </c>
    </row>
    <row r="32" spans="1:17" s="13" customFormat="1" ht="19.5" customHeight="1" thickBot="1" x14ac:dyDescent="0.3">
      <c r="A32" s="8"/>
      <c r="B32" s="223"/>
      <c r="C32" s="184" t="s">
        <v>19</v>
      </c>
      <c r="D32" s="308">
        <f t="shared" ref="D32:O32" si="7">SUM(D30:D31)</f>
        <v>1646309.27</v>
      </c>
      <c r="E32" s="308">
        <f t="shared" si="7"/>
        <v>2611643.52</v>
      </c>
      <c r="F32" s="308">
        <f t="shared" si="7"/>
        <v>2501243</v>
      </c>
      <c r="G32" s="308">
        <f t="shared" si="7"/>
        <v>2908497</v>
      </c>
      <c r="H32" s="308">
        <f t="shared" si="7"/>
        <v>3299285.2947849669</v>
      </c>
      <c r="I32" s="308">
        <f t="shared" si="7"/>
        <v>2875903</v>
      </c>
      <c r="J32" s="308">
        <f t="shared" si="7"/>
        <v>2943741</v>
      </c>
      <c r="K32" s="308">
        <f t="shared" si="7"/>
        <v>2474241.64</v>
      </c>
      <c r="L32" s="308">
        <f t="shared" si="7"/>
        <v>2359637.6399999997</v>
      </c>
      <c r="M32" s="308">
        <f t="shared" si="7"/>
        <v>1529319.7165743262</v>
      </c>
      <c r="N32" s="308">
        <f t="shared" si="7"/>
        <v>2379651.672156889</v>
      </c>
      <c r="O32" s="308">
        <f t="shared" si="7"/>
        <v>2344586.1591703426</v>
      </c>
      <c r="Q32" s="500">
        <f>Q28+Q22</f>
        <v>242806.71315599998</v>
      </c>
    </row>
    <row r="33" spans="1:17" x14ac:dyDescent="0.2">
      <c r="A33" s="12"/>
      <c r="B33" s="225"/>
      <c r="D33" s="74"/>
      <c r="E33" s="74"/>
      <c r="F33" s="41"/>
      <c r="G33" s="41"/>
      <c r="H33" s="41"/>
      <c r="I33" s="41"/>
      <c r="J33" s="41"/>
      <c r="K33" s="41"/>
      <c r="L33" s="41"/>
      <c r="M33" s="41"/>
      <c r="N33" s="41"/>
      <c r="O33" s="41"/>
      <c r="Q33" s="499">
        <f>L32*0.1029</f>
        <v>242806.71315599998</v>
      </c>
    </row>
    <row r="34" spans="1:17" x14ac:dyDescent="0.2">
      <c r="C34" s="6"/>
      <c r="K34" s="1" t="s">
        <v>5</v>
      </c>
    </row>
  </sheetData>
  <mergeCells count="7">
    <mergeCell ref="C10:O10"/>
    <mergeCell ref="C23:O23"/>
    <mergeCell ref="M1:O1"/>
    <mergeCell ref="C2:O2"/>
    <mergeCell ref="C3:O3"/>
    <mergeCell ref="C4:O4"/>
    <mergeCell ref="C5:O5"/>
  </mergeCells>
  <printOptions horizontalCentered="1" verticalCentered="1"/>
  <pageMargins left="0.5" right="0.5" top="0.22" bottom="1.18" header="0.22" footer="0.23"/>
  <pageSetup scale="51" orientation="landscape"/>
  <headerFooter alignWithMargins="0">
    <oddFooter xml:space="preserve">&amp;C
Totals may vary due to rounding&amp;R&amp;14
</oddFooter>
  </headerFooter>
  <ignoredErrors>
    <ignoredError sqref="F18 D18" formulaRange="1"/>
  </ignoredError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0">
    <tabColor rgb="FFFFC000"/>
    <pageSetUpPr fitToPage="1"/>
  </sheetPr>
  <dimension ref="A1:P34"/>
  <sheetViews>
    <sheetView showGridLines="0" topLeftCell="B4" zoomScale="75" zoomScaleNormal="75" workbookViewId="0">
      <pane xSplit="2" topLeftCell="D1" activePane="topRight" state="frozen"/>
      <selection activeCell="B1" sqref="B1"/>
      <selection pane="topRight" activeCell="D1" sqref="D1:D1048576"/>
    </sheetView>
  </sheetViews>
  <sheetFormatPr defaultRowHeight="12.75" x14ac:dyDescent="0.2"/>
  <cols>
    <col min="1" max="1" width="4.5703125" style="1" hidden="1" customWidth="1"/>
    <col min="2" max="2" width="4.5703125" style="221" customWidth="1"/>
    <col min="3" max="3" width="63.42578125" style="1" customWidth="1"/>
    <col min="4" max="4" width="20.28515625" style="1" hidden="1" customWidth="1"/>
    <col min="5" max="5" width="19" style="1" customWidth="1"/>
    <col min="6" max="6" width="18.85546875" style="1" customWidth="1"/>
    <col min="7" max="7" width="19.140625" style="1" customWidth="1"/>
    <col min="8" max="8" width="17.140625" style="1" bestFit="1" customWidth="1"/>
    <col min="9" max="11" width="18.85546875" style="1" customWidth="1"/>
    <col min="12" max="14" width="18.85546875" style="395" customWidth="1"/>
    <col min="15" max="15" width="18.85546875" style="1" customWidth="1"/>
    <col min="16" max="16" width="12.5703125" style="1" customWidth="1"/>
    <col min="17" max="256" width="9.140625" style="1"/>
    <col min="257" max="257" width="4.5703125" style="1" customWidth="1"/>
    <col min="258" max="258" width="60.7109375" style="1" customWidth="1"/>
    <col min="259" max="259" width="23.85546875" style="1" customWidth="1"/>
    <col min="260" max="261" width="21.140625" style="1" customWidth="1"/>
    <col min="262" max="262" width="20.42578125" style="1" customWidth="1"/>
    <col min="263" max="263" width="21" style="1" customWidth="1"/>
    <col min="264" max="264" width="20.85546875" style="1" customWidth="1"/>
    <col min="265" max="265" width="20.7109375" style="1" customWidth="1"/>
    <col min="266" max="266" width="23.85546875" style="1" bestFit="1" customWidth="1"/>
    <col min="267" max="267" width="20.85546875" style="1" customWidth="1"/>
    <col min="268" max="268" width="20.7109375" style="1" customWidth="1"/>
    <col min="269" max="269" width="9.140625" style="1"/>
    <col min="270" max="270" width="23.140625" style="1" customWidth="1"/>
    <col min="271" max="271" width="9.140625" style="1"/>
    <col min="272" max="272" width="12.5703125" style="1" customWidth="1"/>
    <col min="273" max="512" width="9.140625" style="1"/>
    <col min="513" max="513" width="4.5703125" style="1" customWidth="1"/>
    <col min="514" max="514" width="60.7109375" style="1" customWidth="1"/>
    <col min="515" max="515" width="23.85546875" style="1" customWidth="1"/>
    <col min="516" max="517" width="21.140625" style="1" customWidth="1"/>
    <col min="518" max="518" width="20.42578125" style="1" customWidth="1"/>
    <col min="519" max="519" width="21" style="1" customWidth="1"/>
    <col min="520" max="520" width="20.85546875" style="1" customWidth="1"/>
    <col min="521" max="521" width="20.7109375" style="1" customWidth="1"/>
    <col min="522" max="522" width="23.85546875" style="1" bestFit="1" customWidth="1"/>
    <col min="523" max="523" width="20.85546875" style="1" customWidth="1"/>
    <col min="524" max="524" width="20.7109375" style="1" customWidth="1"/>
    <col min="525" max="525" width="9.140625" style="1"/>
    <col min="526" max="526" width="23.140625" style="1" customWidth="1"/>
    <col min="527" max="527" width="9.140625" style="1"/>
    <col min="528" max="528" width="12.5703125" style="1" customWidth="1"/>
    <col min="529" max="768" width="9.140625" style="1"/>
    <col min="769" max="769" width="4.5703125" style="1" customWidth="1"/>
    <col min="770" max="770" width="60.7109375" style="1" customWidth="1"/>
    <col min="771" max="771" width="23.85546875" style="1" customWidth="1"/>
    <col min="772" max="773" width="21.140625" style="1" customWidth="1"/>
    <col min="774" max="774" width="20.42578125" style="1" customWidth="1"/>
    <col min="775" max="775" width="21" style="1" customWidth="1"/>
    <col min="776" max="776" width="20.85546875" style="1" customWidth="1"/>
    <col min="777" max="777" width="20.7109375" style="1" customWidth="1"/>
    <col min="778" max="778" width="23.85546875" style="1" bestFit="1" customWidth="1"/>
    <col min="779" max="779" width="20.85546875" style="1" customWidth="1"/>
    <col min="780" max="780" width="20.7109375" style="1" customWidth="1"/>
    <col min="781" max="781" width="9.140625" style="1"/>
    <col min="782" max="782" width="23.140625" style="1" customWidth="1"/>
    <col min="783" max="783" width="9.140625" style="1"/>
    <col min="784" max="784" width="12.5703125" style="1" customWidth="1"/>
    <col min="785" max="1024" width="9.140625" style="1"/>
    <col min="1025" max="1025" width="4.5703125" style="1" customWidth="1"/>
    <col min="1026" max="1026" width="60.7109375" style="1" customWidth="1"/>
    <col min="1027" max="1027" width="23.85546875" style="1" customWidth="1"/>
    <col min="1028" max="1029" width="21.140625" style="1" customWidth="1"/>
    <col min="1030" max="1030" width="20.42578125" style="1" customWidth="1"/>
    <col min="1031" max="1031" width="21" style="1" customWidth="1"/>
    <col min="1032" max="1032" width="20.85546875" style="1" customWidth="1"/>
    <col min="1033" max="1033" width="20.7109375" style="1" customWidth="1"/>
    <col min="1034" max="1034" width="23.85546875" style="1" bestFit="1" customWidth="1"/>
    <col min="1035" max="1035" width="20.85546875" style="1" customWidth="1"/>
    <col min="1036" max="1036" width="20.7109375" style="1" customWidth="1"/>
    <col min="1037" max="1037" width="9.140625" style="1"/>
    <col min="1038" max="1038" width="23.140625" style="1" customWidth="1"/>
    <col min="1039" max="1039" width="9.140625" style="1"/>
    <col min="1040" max="1040" width="12.5703125" style="1" customWidth="1"/>
    <col min="1041" max="1280" width="9.140625" style="1"/>
    <col min="1281" max="1281" width="4.5703125" style="1" customWidth="1"/>
    <col min="1282" max="1282" width="60.7109375" style="1" customWidth="1"/>
    <col min="1283" max="1283" width="23.85546875" style="1" customWidth="1"/>
    <col min="1284" max="1285" width="21.140625" style="1" customWidth="1"/>
    <col min="1286" max="1286" width="20.42578125" style="1" customWidth="1"/>
    <col min="1287" max="1287" width="21" style="1" customWidth="1"/>
    <col min="1288" max="1288" width="20.85546875" style="1" customWidth="1"/>
    <col min="1289" max="1289" width="20.7109375" style="1" customWidth="1"/>
    <col min="1290" max="1290" width="23.85546875" style="1" bestFit="1" customWidth="1"/>
    <col min="1291" max="1291" width="20.85546875" style="1" customWidth="1"/>
    <col min="1292" max="1292" width="20.7109375" style="1" customWidth="1"/>
    <col min="1293" max="1293" width="9.140625" style="1"/>
    <col min="1294" max="1294" width="23.140625" style="1" customWidth="1"/>
    <col min="1295" max="1295" width="9.140625" style="1"/>
    <col min="1296" max="1296" width="12.5703125" style="1" customWidth="1"/>
    <col min="1297" max="1536" width="9.140625" style="1"/>
    <col min="1537" max="1537" width="4.5703125" style="1" customWidth="1"/>
    <col min="1538" max="1538" width="60.7109375" style="1" customWidth="1"/>
    <col min="1539" max="1539" width="23.85546875" style="1" customWidth="1"/>
    <col min="1540" max="1541" width="21.140625" style="1" customWidth="1"/>
    <col min="1542" max="1542" width="20.42578125" style="1" customWidth="1"/>
    <col min="1543" max="1543" width="21" style="1" customWidth="1"/>
    <col min="1544" max="1544" width="20.85546875" style="1" customWidth="1"/>
    <col min="1545" max="1545" width="20.7109375" style="1" customWidth="1"/>
    <col min="1546" max="1546" width="23.85546875" style="1" bestFit="1" customWidth="1"/>
    <col min="1547" max="1547" width="20.85546875" style="1" customWidth="1"/>
    <col min="1548" max="1548" width="20.7109375" style="1" customWidth="1"/>
    <col min="1549" max="1549" width="9.140625" style="1"/>
    <col min="1550" max="1550" width="23.140625" style="1" customWidth="1"/>
    <col min="1551" max="1551" width="9.140625" style="1"/>
    <col min="1552" max="1552" width="12.5703125" style="1" customWidth="1"/>
    <col min="1553" max="1792" width="9.140625" style="1"/>
    <col min="1793" max="1793" width="4.5703125" style="1" customWidth="1"/>
    <col min="1794" max="1794" width="60.7109375" style="1" customWidth="1"/>
    <col min="1795" max="1795" width="23.85546875" style="1" customWidth="1"/>
    <col min="1796" max="1797" width="21.140625" style="1" customWidth="1"/>
    <col min="1798" max="1798" width="20.42578125" style="1" customWidth="1"/>
    <col min="1799" max="1799" width="21" style="1" customWidth="1"/>
    <col min="1800" max="1800" width="20.85546875" style="1" customWidth="1"/>
    <col min="1801" max="1801" width="20.7109375" style="1" customWidth="1"/>
    <col min="1802" max="1802" width="23.85546875" style="1" bestFit="1" customWidth="1"/>
    <col min="1803" max="1803" width="20.85546875" style="1" customWidth="1"/>
    <col min="1804" max="1804" width="20.7109375" style="1" customWidth="1"/>
    <col min="1805" max="1805" width="9.140625" style="1"/>
    <col min="1806" max="1806" width="23.140625" style="1" customWidth="1"/>
    <col min="1807" max="1807" width="9.140625" style="1"/>
    <col min="1808" max="1808" width="12.5703125" style="1" customWidth="1"/>
    <col min="1809" max="2048" width="9.140625" style="1"/>
    <col min="2049" max="2049" width="4.5703125" style="1" customWidth="1"/>
    <col min="2050" max="2050" width="60.7109375" style="1" customWidth="1"/>
    <col min="2051" max="2051" width="23.85546875" style="1" customWidth="1"/>
    <col min="2052" max="2053" width="21.140625" style="1" customWidth="1"/>
    <col min="2054" max="2054" width="20.42578125" style="1" customWidth="1"/>
    <col min="2055" max="2055" width="21" style="1" customWidth="1"/>
    <col min="2056" max="2056" width="20.85546875" style="1" customWidth="1"/>
    <col min="2057" max="2057" width="20.7109375" style="1" customWidth="1"/>
    <col min="2058" max="2058" width="23.85546875" style="1" bestFit="1" customWidth="1"/>
    <col min="2059" max="2059" width="20.85546875" style="1" customWidth="1"/>
    <col min="2060" max="2060" width="20.7109375" style="1" customWidth="1"/>
    <col min="2061" max="2061" width="9.140625" style="1"/>
    <col min="2062" max="2062" width="23.140625" style="1" customWidth="1"/>
    <col min="2063" max="2063" width="9.140625" style="1"/>
    <col min="2064" max="2064" width="12.5703125" style="1" customWidth="1"/>
    <col min="2065" max="2304" width="9.140625" style="1"/>
    <col min="2305" max="2305" width="4.5703125" style="1" customWidth="1"/>
    <col min="2306" max="2306" width="60.7109375" style="1" customWidth="1"/>
    <col min="2307" max="2307" width="23.85546875" style="1" customWidth="1"/>
    <col min="2308" max="2309" width="21.140625" style="1" customWidth="1"/>
    <col min="2310" max="2310" width="20.42578125" style="1" customWidth="1"/>
    <col min="2311" max="2311" width="21" style="1" customWidth="1"/>
    <col min="2312" max="2312" width="20.85546875" style="1" customWidth="1"/>
    <col min="2313" max="2313" width="20.7109375" style="1" customWidth="1"/>
    <col min="2314" max="2314" width="23.85546875" style="1" bestFit="1" customWidth="1"/>
    <col min="2315" max="2315" width="20.85546875" style="1" customWidth="1"/>
    <col min="2316" max="2316" width="20.7109375" style="1" customWidth="1"/>
    <col min="2317" max="2317" width="9.140625" style="1"/>
    <col min="2318" max="2318" width="23.140625" style="1" customWidth="1"/>
    <col min="2319" max="2319" width="9.140625" style="1"/>
    <col min="2320" max="2320" width="12.5703125" style="1" customWidth="1"/>
    <col min="2321" max="2560" width="9.140625" style="1"/>
    <col min="2561" max="2561" width="4.5703125" style="1" customWidth="1"/>
    <col min="2562" max="2562" width="60.7109375" style="1" customWidth="1"/>
    <col min="2563" max="2563" width="23.85546875" style="1" customWidth="1"/>
    <col min="2564" max="2565" width="21.140625" style="1" customWidth="1"/>
    <col min="2566" max="2566" width="20.42578125" style="1" customWidth="1"/>
    <col min="2567" max="2567" width="21" style="1" customWidth="1"/>
    <col min="2568" max="2568" width="20.85546875" style="1" customWidth="1"/>
    <col min="2569" max="2569" width="20.7109375" style="1" customWidth="1"/>
    <col min="2570" max="2570" width="23.85546875" style="1" bestFit="1" customWidth="1"/>
    <col min="2571" max="2571" width="20.85546875" style="1" customWidth="1"/>
    <col min="2572" max="2572" width="20.7109375" style="1" customWidth="1"/>
    <col min="2573" max="2573" width="9.140625" style="1"/>
    <col min="2574" max="2574" width="23.140625" style="1" customWidth="1"/>
    <col min="2575" max="2575" width="9.140625" style="1"/>
    <col min="2576" max="2576" width="12.5703125" style="1" customWidth="1"/>
    <col min="2577" max="2816" width="9.140625" style="1"/>
    <col min="2817" max="2817" width="4.5703125" style="1" customWidth="1"/>
    <col min="2818" max="2818" width="60.7109375" style="1" customWidth="1"/>
    <col min="2819" max="2819" width="23.85546875" style="1" customWidth="1"/>
    <col min="2820" max="2821" width="21.140625" style="1" customWidth="1"/>
    <col min="2822" max="2822" width="20.42578125" style="1" customWidth="1"/>
    <col min="2823" max="2823" width="21" style="1" customWidth="1"/>
    <col min="2824" max="2824" width="20.85546875" style="1" customWidth="1"/>
    <col min="2825" max="2825" width="20.7109375" style="1" customWidth="1"/>
    <col min="2826" max="2826" width="23.85546875" style="1" bestFit="1" customWidth="1"/>
    <col min="2827" max="2827" width="20.85546875" style="1" customWidth="1"/>
    <col min="2828" max="2828" width="20.7109375" style="1" customWidth="1"/>
    <col min="2829" max="2829" width="9.140625" style="1"/>
    <col min="2830" max="2830" width="23.140625" style="1" customWidth="1"/>
    <col min="2831" max="2831" width="9.140625" style="1"/>
    <col min="2832" max="2832" width="12.5703125" style="1" customWidth="1"/>
    <col min="2833" max="3072" width="9.140625" style="1"/>
    <col min="3073" max="3073" width="4.5703125" style="1" customWidth="1"/>
    <col min="3074" max="3074" width="60.7109375" style="1" customWidth="1"/>
    <col min="3075" max="3075" width="23.85546875" style="1" customWidth="1"/>
    <col min="3076" max="3077" width="21.140625" style="1" customWidth="1"/>
    <col min="3078" max="3078" width="20.42578125" style="1" customWidth="1"/>
    <col min="3079" max="3079" width="21" style="1" customWidth="1"/>
    <col min="3080" max="3080" width="20.85546875" style="1" customWidth="1"/>
    <col min="3081" max="3081" width="20.7109375" style="1" customWidth="1"/>
    <col min="3082" max="3082" width="23.85546875" style="1" bestFit="1" customWidth="1"/>
    <col min="3083" max="3083" width="20.85546875" style="1" customWidth="1"/>
    <col min="3084" max="3084" width="20.7109375" style="1" customWidth="1"/>
    <col min="3085" max="3085" width="9.140625" style="1"/>
    <col min="3086" max="3086" width="23.140625" style="1" customWidth="1"/>
    <col min="3087" max="3087" width="9.140625" style="1"/>
    <col min="3088" max="3088" width="12.5703125" style="1" customWidth="1"/>
    <col min="3089" max="3328" width="9.140625" style="1"/>
    <col min="3329" max="3329" width="4.5703125" style="1" customWidth="1"/>
    <col min="3330" max="3330" width="60.7109375" style="1" customWidth="1"/>
    <col min="3331" max="3331" width="23.85546875" style="1" customWidth="1"/>
    <col min="3332" max="3333" width="21.140625" style="1" customWidth="1"/>
    <col min="3334" max="3334" width="20.42578125" style="1" customWidth="1"/>
    <col min="3335" max="3335" width="21" style="1" customWidth="1"/>
    <col min="3336" max="3336" width="20.85546875" style="1" customWidth="1"/>
    <col min="3337" max="3337" width="20.7109375" style="1" customWidth="1"/>
    <col min="3338" max="3338" width="23.85546875" style="1" bestFit="1" customWidth="1"/>
    <col min="3339" max="3339" width="20.85546875" style="1" customWidth="1"/>
    <col min="3340" max="3340" width="20.7109375" style="1" customWidth="1"/>
    <col min="3341" max="3341" width="9.140625" style="1"/>
    <col min="3342" max="3342" width="23.140625" style="1" customWidth="1"/>
    <col min="3343" max="3343" width="9.140625" style="1"/>
    <col min="3344" max="3344" width="12.5703125" style="1" customWidth="1"/>
    <col min="3345" max="3584" width="9.140625" style="1"/>
    <col min="3585" max="3585" width="4.5703125" style="1" customWidth="1"/>
    <col min="3586" max="3586" width="60.7109375" style="1" customWidth="1"/>
    <col min="3587" max="3587" width="23.85546875" style="1" customWidth="1"/>
    <col min="3588" max="3589" width="21.140625" style="1" customWidth="1"/>
    <col min="3590" max="3590" width="20.42578125" style="1" customWidth="1"/>
    <col min="3591" max="3591" width="21" style="1" customWidth="1"/>
    <col min="3592" max="3592" width="20.85546875" style="1" customWidth="1"/>
    <col min="3593" max="3593" width="20.7109375" style="1" customWidth="1"/>
    <col min="3594" max="3594" width="23.85546875" style="1" bestFit="1" customWidth="1"/>
    <col min="3595" max="3595" width="20.85546875" style="1" customWidth="1"/>
    <col min="3596" max="3596" width="20.7109375" style="1" customWidth="1"/>
    <col min="3597" max="3597" width="9.140625" style="1"/>
    <col min="3598" max="3598" width="23.140625" style="1" customWidth="1"/>
    <col min="3599" max="3599" width="9.140625" style="1"/>
    <col min="3600" max="3600" width="12.5703125" style="1" customWidth="1"/>
    <col min="3601" max="3840" width="9.140625" style="1"/>
    <col min="3841" max="3841" width="4.5703125" style="1" customWidth="1"/>
    <col min="3842" max="3842" width="60.7109375" style="1" customWidth="1"/>
    <col min="3843" max="3843" width="23.85546875" style="1" customWidth="1"/>
    <col min="3844" max="3845" width="21.140625" style="1" customWidth="1"/>
    <col min="3846" max="3846" width="20.42578125" style="1" customWidth="1"/>
    <col min="3847" max="3847" width="21" style="1" customWidth="1"/>
    <col min="3848" max="3848" width="20.85546875" style="1" customWidth="1"/>
    <col min="3849" max="3849" width="20.7109375" style="1" customWidth="1"/>
    <col min="3850" max="3850" width="23.85546875" style="1" bestFit="1" customWidth="1"/>
    <col min="3851" max="3851" width="20.85546875" style="1" customWidth="1"/>
    <col min="3852" max="3852" width="20.7109375" style="1" customWidth="1"/>
    <col min="3853" max="3853" width="9.140625" style="1"/>
    <col min="3854" max="3854" width="23.140625" style="1" customWidth="1"/>
    <col min="3855" max="3855" width="9.140625" style="1"/>
    <col min="3856" max="3856" width="12.5703125" style="1" customWidth="1"/>
    <col min="3857" max="4096" width="9.140625" style="1"/>
    <col min="4097" max="4097" width="4.5703125" style="1" customWidth="1"/>
    <col min="4098" max="4098" width="60.7109375" style="1" customWidth="1"/>
    <col min="4099" max="4099" width="23.85546875" style="1" customWidth="1"/>
    <col min="4100" max="4101" width="21.140625" style="1" customWidth="1"/>
    <col min="4102" max="4102" width="20.42578125" style="1" customWidth="1"/>
    <col min="4103" max="4103" width="21" style="1" customWidth="1"/>
    <col min="4104" max="4104" width="20.85546875" style="1" customWidth="1"/>
    <col min="4105" max="4105" width="20.7109375" style="1" customWidth="1"/>
    <col min="4106" max="4106" width="23.85546875" style="1" bestFit="1" customWidth="1"/>
    <col min="4107" max="4107" width="20.85546875" style="1" customWidth="1"/>
    <col min="4108" max="4108" width="20.7109375" style="1" customWidth="1"/>
    <col min="4109" max="4109" width="9.140625" style="1"/>
    <col min="4110" max="4110" width="23.140625" style="1" customWidth="1"/>
    <col min="4111" max="4111" width="9.140625" style="1"/>
    <col min="4112" max="4112" width="12.5703125" style="1" customWidth="1"/>
    <col min="4113" max="4352" width="9.140625" style="1"/>
    <col min="4353" max="4353" width="4.5703125" style="1" customWidth="1"/>
    <col min="4354" max="4354" width="60.7109375" style="1" customWidth="1"/>
    <col min="4355" max="4355" width="23.85546875" style="1" customWidth="1"/>
    <col min="4356" max="4357" width="21.140625" style="1" customWidth="1"/>
    <col min="4358" max="4358" width="20.42578125" style="1" customWidth="1"/>
    <col min="4359" max="4359" width="21" style="1" customWidth="1"/>
    <col min="4360" max="4360" width="20.85546875" style="1" customWidth="1"/>
    <col min="4361" max="4361" width="20.7109375" style="1" customWidth="1"/>
    <col min="4362" max="4362" width="23.85546875" style="1" bestFit="1" customWidth="1"/>
    <col min="4363" max="4363" width="20.85546875" style="1" customWidth="1"/>
    <col min="4364" max="4364" width="20.7109375" style="1" customWidth="1"/>
    <col min="4365" max="4365" width="9.140625" style="1"/>
    <col min="4366" max="4366" width="23.140625" style="1" customWidth="1"/>
    <col min="4367" max="4367" width="9.140625" style="1"/>
    <col min="4368" max="4368" width="12.5703125" style="1" customWidth="1"/>
    <col min="4369" max="4608" width="9.140625" style="1"/>
    <col min="4609" max="4609" width="4.5703125" style="1" customWidth="1"/>
    <col min="4610" max="4610" width="60.7109375" style="1" customWidth="1"/>
    <col min="4611" max="4611" width="23.85546875" style="1" customWidth="1"/>
    <col min="4612" max="4613" width="21.140625" style="1" customWidth="1"/>
    <col min="4614" max="4614" width="20.42578125" style="1" customWidth="1"/>
    <col min="4615" max="4615" width="21" style="1" customWidth="1"/>
    <col min="4616" max="4616" width="20.85546875" style="1" customWidth="1"/>
    <col min="4617" max="4617" width="20.7109375" style="1" customWidth="1"/>
    <col min="4618" max="4618" width="23.85546875" style="1" bestFit="1" customWidth="1"/>
    <col min="4619" max="4619" width="20.85546875" style="1" customWidth="1"/>
    <col min="4620" max="4620" width="20.7109375" style="1" customWidth="1"/>
    <col min="4621" max="4621" width="9.140625" style="1"/>
    <col min="4622" max="4622" width="23.140625" style="1" customWidth="1"/>
    <col min="4623" max="4623" width="9.140625" style="1"/>
    <col min="4624" max="4624" width="12.5703125" style="1" customWidth="1"/>
    <col min="4625" max="4864" width="9.140625" style="1"/>
    <col min="4865" max="4865" width="4.5703125" style="1" customWidth="1"/>
    <col min="4866" max="4866" width="60.7109375" style="1" customWidth="1"/>
    <col min="4867" max="4867" width="23.85546875" style="1" customWidth="1"/>
    <col min="4868" max="4869" width="21.140625" style="1" customWidth="1"/>
    <col min="4870" max="4870" width="20.42578125" style="1" customWidth="1"/>
    <col min="4871" max="4871" width="21" style="1" customWidth="1"/>
    <col min="4872" max="4872" width="20.85546875" style="1" customWidth="1"/>
    <col min="4873" max="4873" width="20.7109375" style="1" customWidth="1"/>
    <col min="4874" max="4874" width="23.85546875" style="1" bestFit="1" customWidth="1"/>
    <col min="4875" max="4875" width="20.85546875" style="1" customWidth="1"/>
    <col min="4876" max="4876" width="20.7109375" style="1" customWidth="1"/>
    <col min="4877" max="4877" width="9.140625" style="1"/>
    <col min="4878" max="4878" width="23.140625" style="1" customWidth="1"/>
    <col min="4879" max="4879" width="9.140625" style="1"/>
    <col min="4880" max="4880" width="12.5703125" style="1" customWidth="1"/>
    <col min="4881" max="5120" width="9.140625" style="1"/>
    <col min="5121" max="5121" width="4.5703125" style="1" customWidth="1"/>
    <col min="5122" max="5122" width="60.7109375" style="1" customWidth="1"/>
    <col min="5123" max="5123" width="23.85546875" style="1" customWidth="1"/>
    <col min="5124" max="5125" width="21.140625" style="1" customWidth="1"/>
    <col min="5126" max="5126" width="20.42578125" style="1" customWidth="1"/>
    <col min="5127" max="5127" width="21" style="1" customWidth="1"/>
    <col min="5128" max="5128" width="20.85546875" style="1" customWidth="1"/>
    <col min="5129" max="5129" width="20.7109375" style="1" customWidth="1"/>
    <col min="5130" max="5130" width="23.85546875" style="1" bestFit="1" customWidth="1"/>
    <col min="5131" max="5131" width="20.85546875" style="1" customWidth="1"/>
    <col min="5132" max="5132" width="20.7109375" style="1" customWidth="1"/>
    <col min="5133" max="5133" width="9.140625" style="1"/>
    <col min="5134" max="5134" width="23.140625" style="1" customWidth="1"/>
    <col min="5135" max="5135" width="9.140625" style="1"/>
    <col min="5136" max="5136" width="12.5703125" style="1" customWidth="1"/>
    <col min="5137" max="5376" width="9.140625" style="1"/>
    <col min="5377" max="5377" width="4.5703125" style="1" customWidth="1"/>
    <col min="5378" max="5378" width="60.7109375" style="1" customWidth="1"/>
    <col min="5379" max="5379" width="23.85546875" style="1" customWidth="1"/>
    <col min="5380" max="5381" width="21.140625" style="1" customWidth="1"/>
    <col min="5382" max="5382" width="20.42578125" style="1" customWidth="1"/>
    <col min="5383" max="5383" width="21" style="1" customWidth="1"/>
    <col min="5384" max="5384" width="20.85546875" style="1" customWidth="1"/>
    <col min="5385" max="5385" width="20.7109375" style="1" customWidth="1"/>
    <col min="5386" max="5386" width="23.85546875" style="1" bestFit="1" customWidth="1"/>
    <col min="5387" max="5387" width="20.85546875" style="1" customWidth="1"/>
    <col min="5388" max="5388" width="20.7109375" style="1" customWidth="1"/>
    <col min="5389" max="5389" width="9.140625" style="1"/>
    <col min="5390" max="5390" width="23.140625" style="1" customWidth="1"/>
    <col min="5391" max="5391" width="9.140625" style="1"/>
    <col min="5392" max="5392" width="12.5703125" style="1" customWidth="1"/>
    <col min="5393" max="5632" width="9.140625" style="1"/>
    <col min="5633" max="5633" width="4.5703125" style="1" customWidth="1"/>
    <col min="5634" max="5634" width="60.7109375" style="1" customWidth="1"/>
    <col min="5635" max="5635" width="23.85546875" style="1" customWidth="1"/>
    <col min="5636" max="5637" width="21.140625" style="1" customWidth="1"/>
    <col min="5638" max="5638" width="20.42578125" style="1" customWidth="1"/>
    <col min="5639" max="5639" width="21" style="1" customWidth="1"/>
    <col min="5640" max="5640" width="20.85546875" style="1" customWidth="1"/>
    <col min="5641" max="5641" width="20.7109375" style="1" customWidth="1"/>
    <col min="5642" max="5642" width="23.85546875" style="1" bestFit="1" customWidth="1"/>
    <col min="5643" max="5643" width="20.85546875" style="1" customWidth="1"/>
    <col min="5644" max="5644" width="20.7109375" style="1" customWidth="1"/>
    <col min="5645" max="5645" width="9.140625" style="1"/>
    <col min="5646" max="5646" width="23.140625" style="1" customWidth="1"/>
    <col min="5647" max="5647" width="9.140625" style="1"/>
    <col min="5648" max="5648" width="12.5703125" style="1" customWidth="1"/>
    <col min="5649" max="5888" width="9.140625" style="1"/>
    <col min="5889" max="5889" width="4.5703125" style="1" customWidth="1"/>
    <col min="5890" max="5890" width="60.7109375" style="1" customWidth="1"/>
    <col min="5891" max="5891" width="23.85546875" style="1" customWidth="1"/>
    <col min="5892" max="5893" width="21.140625" style="1" customWidth="1"/>
    <col min="5894" max="5894" width="20.42578125" style="1" customWidth="1"/>
    <col min="5895" max="5895" width="21" style="1" customWidth="1"/>
    <col min="5896" max="5896" width="20.85546875" style="1" customWidth="1"/>
    <col min="5897" max="5897" width="20.7109375" style="1" customWidth="1"/>
    <col min="5898" max="5898" width="23.85546875" style="1" bestFit="1" customWidth="1"/>
    <col min="5899" max="5899" width="20.85546875" style="1" customWidth="1"/>
    <col min="5900" max="5900" width="20.7109375" style="1" customWidth="1"/>
    <col min="5901" max="5901" width="9.140625" style="1"/>
    <col min="5902" max="5902" width="23.140625" style="1" customWidth="1"/>
    <col min="5903" max="5903" width="9.140625" style="1"/>
    <col min="5904" max="5904" width="12.5703125" style="1" customWidth="1"/>
    <col min="5905" max="6144" width="9.140625" style="1"/>
    <col min="6145" max="6145" width="4.5703125" style="1" customWidth="1"/>
    <col min="6146" max="6146" width="60.7109375" style="1" customWidth="1"/>
    <col min="6147" max="6147" width="23.85546875" style="1" customWidth="1"/>
    <col min="6148" max="6149" width="21.140625" style="1" customWidth="1"/>
    <col min="6150" max="6150" width="20.42578125" style="1" customWidth="1"/>
    <col min="6151" max="6151" width="21" style="1" customWidth="1"/>
    <col min="6152" max="6152" width="20.85546875" style="1" customWidth="1"/>
    <col min="6153" max="6153" width="20.7109375" style="1" customWidth="1"/>
    <col min="6154" max="6154" width="23.85546875" style="1" bestFit="1" customWidth="1"/>
    <col min="6155" max="6155" width="20.85546875" style="1" customWidth="1"/>
    <col min="6156" max="6156" width="20.7109375" style="1" customWidth="1"/>
    <col min="6157" max="6157" width="9.140625" style="1"/>
    <col min="6158" max="6158" width="23.140625" style="1" customWidth="1"/>
    <col min="6159" max="6159" width="9.140625" style="1"/>
    <col min="6160" max="6160" width="12.5703125" style="1" customWidth="1"/>
    <col min="6161" max="6400" width="9.140625" style="1"/>
    <col min="6401" max="6401" width="4.5703125" style="1" customWidth="1"/>
    <col min="6402" max="6402" width="60.7109375" style="1" customWidth="1"/>
    <col min="6403" max="6403" width="23.85546875" style="1" customWidth="1"/>
    <col min="6404" max="6405" width="21.140625" style="1" customWidth="1"/>
    <col min="6406" max="6406" width="20.42578125" style="1" customWidth="1"/>
    <col min="6407" max="6407" width="21" style="1" customWidth="1"/>
    <col min="6408" max="6408" width="20.85546875" style="1" customWidth="1"/>
    <col min="6409" max="6409" width="20.7109375" style="1" customWidth="1"/>
    <col min="6410" max="6410" width="23.85546875" style="1" bestFit="1" customWidth="1"/>
    <col min="6411" max="6411" width="20.85546875" style="1" customWidth="1"/>
    <col min="6412" max="6412" width="20.7109375" style="1" customWidth="1"/>
    <col min="6413" max="6413" width="9.140625" style="1"/>
    <col min="6414" max="6414" width="23.140625" style="1" customWidth="1"/>
    <col min="6415" max="6415" width="9.140625" style="1"/>
    <col min="6416" max="6416" width="12.5703125" style="1" customWidth="1"/>
    <col min="6417" max="6656" width="9.140625" style="1"/>
    <col min="6657" max="6657" width="4.5703125" style="1" customWidth="1"/>
    <col min="6658" max="6658" width="60.7109375" style="1" customWidth="1"/>
    <col min="6659" max="6659" width="23.85546875" style="1" customWidth="1"/>
    <col min="6660" max="6661" width="21.140625" style="1" customWidth="1"/>
    <col min="6662" max="6662" width="20.42578125" style="1" customWidth="1"/>
    <col min="6663" max="6663" width="21" style="1" customWidth="1"/>
    <col min="6664" max="6664" width="20.85546875" style="1" customWidth="1"/>
    <col min="6665" max="6665" width="20.7109375" style="1" customWidth="1"/>
    <col min="6666" max="6666" width="23.85546875" style="1" bestFit="1" customWidth="1"/>
    <col min="6667" max="6667" width="20.85546875" style="1" customWidth="1"/>
    <col min="6668" max="6668" width="20.7109375" style="1" customWidth="1"/>
    <col min="6669" max="6669" width="9.140625" style="1"/>
    <col min="6670" max="6670" width="23.140625" style="1" customWidth="1"/>
    <col min="6671" max="6671" width="9.140625" style="1"/>
    <col min="6672" max="6672" width="12.5703125" style="1" customWidth="1"/>
    <col min="6673" max="6912" width="9.140625" style="1"/>
    <col min="6913" max="6913" width="4.5703125" style="1" customWidth="1"/>
    <col min="6914" max="6914" width="60.7109375" style="1" customWidth="1"/>
    <col min="6915" max="6915" width="23.85546875" style="1" customWidth="1"/>
    <col min="6916" max="6917" width="21.140625" style="1" customWidth="1"/>
    <col min="6918" max="6918" width="20.42578125" style="1" customWidth="1"/>
    <col min="6919" max="6919" width="21" style="1" customWidth="1"/>
    <col min="6920" max="6920" width="20.85546875" style="1" customWidth="1"/>
    <col min="6921" max="6921" width="20.7109375" style="1" customWidth="1"/>
    <col min="6922" max="6922" width="23.85546875" style="1" bestFit="1" customWidth="1"/>
    <col min="6923" max="6923" width="20.85546875" style="1" customWidth="1"/>
    <col min="6924" max="6924" width="20.7109375" style="1" customWidth="1"/>
    <col min="6925" max="6925" width="9.140625" style="1"/>
    <col min="6926" max="6926" width="23.140625" style="1" customWidth="1"/>
    <col min="6927" max="6927" width="9.140625" style="1"/>
    <col min="6928" max="6928" width="12.5703125" style="1" customWidth="1"/>
    <col min="6929" max="7168" width="9.140625" style="1"/>
    <col min="7169" max="7169" width="4.5703125" style="1" customWidth="1"/>
    <col min="7170" max="7170" width="60.7109375" style="1" customWidth="1"/>
    <col min="7171" max="7171" width="23.85546875" style="1" customWidth="1"/>
    <col min="7172" max="7173" width="21.140625" style="1" customWidth="1"/>
    <col min="7174" max="7174" width="20.42578125" style="1" customWidth="1"/>
    <col min="7175" max="7175" width="21" style="1" customWidth="1"/>
    <col min="7176" max="7176" width="20.85546875" style="1" customWidth="1"/>
    <col min="7177" max="7177" width="20.7109375" style="1" customWidth="1"/>
    <col min="7178" max="7178" width="23.85546875" style="1" bestFit="1" customWidth="1"/>
    <col min="7179" max="7179" width="20.85546875" style="1" customWidth="1"/>
    <col min="7180" max="7180" width="20.7109375" style="1" customWidth="1"/>
    <col min="7181" max="7181" width="9.140625" style="1"/>
    <col min="7182" max="7182" width="23.140625" style="1" customWidth="1"/>
    <col min="7183" max="7183" width="9.140625" style="1"/>
    <col min="7184" max="7184" width="12.5703125" style="1" customWidth="1"/>
    <col min="7185" max="7424" width="9.140625" style="1"/>
    <col min="7425" max="7425" width="4.5703125" style="1" customWidth="1"/>
    <col min="7426" max="7426" width="60.7109375" style="1" customWidth="1"/>
    <col min="7427" max="7427" width="23.85546875" style="1" customWidth="1"/>
    <col min="7428" max="7429" width="21.140625" style="1" customWidth="1"/>
    <col min="7430" max="7430" width="20.42578125" style="1" customWidth="1"/>
    <col min="7431" max="7431" width="21" style="1" customWidth="1"/>
    <col min="7432" max="7432" width="20.85546875" style="1" customWidth="1"/>
    <col min="7433" max="7433" width="20.7109375" style="1" customWidth="1"/>
    <col min="7434" max="7434" width="23.85546875" style="1" bestFit="1" customWidth="1"/>
    <col min="7435" max="7435" width="20.85546875" style="1" customWidth="1"/>
    <col min="7436" max="7436" width="20.7109375" style="1" customWidth="1"/>
    <col min="7437" max="7437" width="9.140625" style="1"/>
    <col min="7438" max="7438" width="23.140625" style="1" customWidth="1"/>
    <col min="7439" max="7439" width="9.140625" style="1"/>
    <col min="7440" max="7440" width="12.5703125" style="1" customWidth="1"/>
    <col min="7441" max="7680" width="9.140625" style="1"/>
    <col min="7681" max="7681" width="4.5703125" style="1" customWidth="1"/>
    <col min="7682" max="7682" width="60.7109375" style="1" customWidth="1"/>
    <col min="7683" max="7683" width="23.85546875" style="1" customWidth="1"/>
    <col min="7684" max="7685" width="21.140625" style="1" customWidth="1"/>
    <col min="7686" max="7686" width="20.42578125" style="1" customWidth="1"/>
    <col min="7687" max="7687" width="21" style="1" customWidth="1"/>
    <col min="7688" max="7688" width="20.85546875" style="1" customWidth="1"/>
    <col min="7689" max="7689" width="20.7109375" style="1" customWidth="1"/>
    <col min="7690" max="7690" width="23.85546875" style="1" bestFit="1" customWidth="1"/>
    <col min="7691" max="7691" width="20.85546875" style="1" customWidth="1"/>
    <col min="7692" max="7692" width="20.7109375" style="1" customWidth="1"/>
    <col min="7693" max="7693" width="9.140625" style="1"/>
    <col min="7694" max="7694" width="23.140625" style="1" customWidth="1"/>
    <col min="7695" max="7695" width="9.140625" style="1"/>
    <col min="7696" max="7696" width="12.5703125" style="1" customWidth="1"/>
    <col min="7697" max="7936" width="9.140625" style="1"/>
    <col min="7937" max="7937" width="4.5703125" style="1" customWidth="1"/>
    <col min="7938" max="7938" width="60.7109375" style="1" customWidth="1"/>
    <col min="7939" max="7939" width="23.85546875" style="1" customWidth="1"/>
    <col min="7940" max="7941" width="21.140625" style="1" customWidth="1"/>
    <col min="7942" max="7942" width="20.42578125" style="1" customWidth="1"/>
    <col min="7943" max="7943" width="21" style="1" customWidth="1"/>
    <col min="7944" max="7944" width="20.85546875" style="1" customWidth="1"/>
    <col min="7945" max="7945" width="20.7109375" style="1" customWidth="1"/>
    <col min="7946" max="7946" width="23.85546875" style="1" bestFit="1" customWidth="1"/>
    <col min="7947" max="7947" width="20.85546875" style="1" customWidth="1"/>
    <col min="7948" max="7948" width="20.7109375" style="1" customWidth="1"/>
    <col min="7949" max="7949" width="9.140625" style="1"/>
    <col min="7950" max="7950" width="23.140625" style="1" customWidth="1"/>
    <col min="7951" max="7951" width="9.140625" style="1"/>
    <col min="7952" max="7952" width="12.5703125" style="1" customWidth="1"/>
    <col min="7953" max="8192" width="9.140625" style="1"/>
    <col min="8193" max="8193" width="4.5703125" style="1" customWidth="1"/>
    <col min="8194" max="8194" width="60.7109375" style="1" customWidth="1"/>
    <col min="8195" max="8195" width="23.85546875" style="1" customWidth="1"/>
    <col min="8196" max="8197" width="21.140625" style="1" customWidth="1"/>
    <col min="8198" max="8198" width="20.42578125" style="1" customWidth="1"/>
    <col min="8199" max="8199" width="21" style="1" customWidth="1"/>
    <col min="8200" max="8200" width="20.85546875" style="1" customWidth="1"/>
    <col min="8201" max="8201" width="20.7109375" style="1" customWidth="1"/>
    <col min="8202" max="8202" width="23.85546875" style="1" bestFit="1" customWidth="1"/>
    <col min="8203" max="8203" width="20.85546875" style="1" customWidth="1"/>
    <col min="8204" max="8204" width="20.7109375" style="1" customWidth="1"/>
    <col min="8205" max="8205" width="9.140625" style="1"/>
    <col min="8206" max="8206" width="23.140625" style="1" customWidth="1"/>
    <col min="8207" max="8207" width="9.140625" style="1"/>
    <col min="8208" max="8208" width="12.5703125" style="1" customWidth="1"/>
    <col min="8209" max="8448" width="9.140625" style="1"/>
    <col min="8449" max="8449" width="4.5703125" style="1" customWidth="1"/>
    <col min="8450" max="8450" width="60.7109375" style="1" customWidth="1"/>
    <col min="8451" max="8451" width="23.85546875" style="1" customWidth="1"/>
    <col min="8452" max="8453" width="21.140625" style="1" customWidth="1"/>
    <col min="8454" max="8454" width="20.42578125" style="1" customWidth="1"/>
    <col min="8455" max="8455" width="21" style="1" customWidth="1"/>
    <col min="8456" max="8456" width="20.85546875" style="1" customWidth="1"/>
    <col min="8457" max="8457" width="20.7109375" style="1" customWidth="1"/>
    <col min="8458" max="8458" width="23.85546875" style="1" bestFit="1" customWidth="1"/>
    <col min="8459" max="8459" width="20.85546875" style="1" customWidth="1"/>
    <col min="8460" max="8460" width="20.7109375" style="1" customWidth="1"/>
    <col min="8461" max="8461" width="9.140625" style="1"/>
    <col min="8462" max="8462" width="23.140625" style="1" customWidth="1"/>
    <col min="8463" max="8463" width="9.140625" style="1"/>
    <col min="8464" max="8464" width="12.5703125" style="1" customWidth="1"/>
    <col min="8465" max="8704" width="9.140625" style="1"/>
    <col min="8705" max="8705" width="4.5703125" style="1" customWidth="1"/>
    <col min="8706" max="8706" width="60.7109375" style="1" customWidth="1"/>
    <col min="8707" max="8707" width="23.85546875" style="1" customWidth="1"/>
    <col min="8708" max="8709" width="21.140625" style="1" customWidth="1"/>
    <col min="8710" max="8710" width="20.42578125" style="1" customWidth="1"/>
    <col min="8711" max="8711" width="21" style="1" customWidth="1"/>
    <col min="8712" max="8712" width="20.85546875" style="1" customWidth="1"/>
    <col min="8713" max="8713" width="20.7109375" style="1" customWidth="1"/>
    <col min="8714" max="8714" width="23.85546875" style="1" bestFit="1" customWidth="1"/>
    <col min="8715" max="8715" width="20.85546875" style="1" customWidth="1"/>
    <col min="8716" max="8716" width="20.7109375" style="1" customWidth="1"/>
    <col min="8717" max="8717" width="9.140625" style="1"/>
    <col min="8718" max="8718" width="23.140625" style="1" customWidth="1"/>
    <col min="8719" max="8719" width="9.140625" style="1"/>
    <col min="8720" max="8720" width="12.5703125" style="1" customWidth="1"/>
    <col min="8721" max="8960" width="9.140625" style="1"/>
    <col min="8961" max="8961" width="4.5703125" style="1" customWidth="1"/>
    <col min="8962" max="8962" width="60.7109375" style="1" customWidth="1"/>
    <col min="8963" max="8963" width="23.85546875" style="1" customWidth="1"/>
    <col min="8964" max="8965" width="21.140625" style="1" customWidth="1"/>
    <col min="8966" max="8966" width="20.42578125" style="1" customWidth="1"/>
    <col min="8967" max="8967" width="21" style="1" customWidth="1"/>
    <col min="8968" max="8968" width="20.85546875" style="1" customWidth="1"/>
    <col min="8969" max="8969" width="20.7109375" style="1" customWidth="1"/>
    <col min="8970" max="8970" width="23.85546875" style="1" bestFit="1" customWidth="1"/>
    <col min="8971" max="8971" width="20.85546875" style="1" customWidth="1"/>
    <col min="8972" max="8972" width="20.7109375" style="1" customWidth="1"/>
    <col min="8973" max="8973" width="9.140625" style="1"/>
    <col min="8974" max="8974" width="23.140625" style="1" customWidth="1"/>
    <col min="8975" max="8975" width="9.140625" style="1"/>
    <col min="8976" max="8976" width="12.5703125" style="1" customWidth="1"/>
    <col min="8977" max="9216" width="9.140625" style="1"/>
    <col min="9217" max="9217" width="4.5703125" style="1" customWidth="1"/>
    <col min="9218" max="9218" width="60.7109375" style="1" customWidth="1"/>
    <col min="9219" max="9219" width="23.85546875" style="1" customWidth="1"/>
    <col min="9220" max="9221" width="21.140625" style="1" customWidth="1"/>
    <col min="9222" max="9222" width="20.42578125" style="1" customWidth="1"/>
    <col min="9223" max="9223" width="21" style="1" customWidth="1"/>
    <col min="9224" max="9224" width="20.85546875" style="1" customWidth="1"/>
    <col min="9225" max="9225" width="20.7109375" style="1" customWidth="1"/>
    <col min="9226" max="9226" width="23.85546875" style="1" bestFit="1" customWidth="1"/>
    <col min="9227" max="9227" width="20.85546875" style="1" customWidth="1"/>
    <col min="9228" max="9228" width="20.7109375" style="1" customWidth="1"/>
    <col min="9229" max="9229" width="9.140625" style="1"/>
    <col min="9230" max="9230" width="23.140625" style="1" customWidth="1"/>
    <col min="9231" max="9231" width="9.140625" style="1"/>
    <col min="9232" max="9232" width="12.5703125" style="1" customWidth="1"/>
    <col min="9233" max="9472" width="9.140625" style="1"/>
    <col min="9473" max="9473" width="4.5703125" style="1" customWidth="1"/>
    <col min="9474" max="9474" width="60.7109375" style="1" customWidth="1"/>
    <col min="9475" max="9475" width="23.85546875" style="1" customWidth="1"/>
    <col min="9476" max="9477" width="21.140625" style="1" customWidth="1"/>
    <col min="9478" max="9478" width="20.42578125" style="1" customWidth="1"/>
    <col min="9479" max="9479" width="21" style="1" customWidth="1"/>
    <col min="9480" max="9480" width="20.85546875" style="1" customWidth="1"/>
    <col min="9481" max="9481" width="20.7109375" style="1" customWidth="1"/>
    <col min="9482" max="9482" width="23.85546875" style="1" bestFit="1" customWidth="1"/>
    <col min="9483" max="9483" width="20.85546875" style="1" customWidth="1"/>
    <col min="9484" max="9484" width="20.7109375" style="1" customWidth="1"/>
    <col min="9485" max="9485" width="9.140625" style="1"/>
    <col min="9486" max="9486" width="23.140625" style="1" customWidth="1"/>
    <col min="9487" max="9487" width="9.140625" style="1"/>
    <col min="9488" max="9488" width="12.5703125" style="1" customWidth="1"/>
    <col min="9489" max="9728" width="9.140625" style="1"/>
    <col min="9729" max="9729" width="4.5703125" style="1" customWidth="1"/>
    <col min="9730" max="9730" width="60.7109375" style="1" customWidth="1"/>
    <col min="9731" max="9731" width="23.85546875" style="1" customWidth="1"/>
    <col min="9732" max="9733" width="21.140625" style="1" customWidth="1"/>
    <col min="9734" max="9734" width="20.42578125" style="1" customWidth="1"/>
    <col min="9735" max="9735" width="21" style="1" customWidth="1"/>
    <col min="9736" max="9736" width="20.85546875" style="1" customWidth="1"/>
    <col min="9737" max="9737" width="20.7109375" style="1" customWidth="1"/>
    <col min="9738" max="9738" width="23.85546875" style="1" bestFit="1" customWidth="1"/>
    <col min="9739" max="9739" width="20.85546875" style="1" customWidth="1"/>
    <col min="9740" max="9740" width="20.7109375" style="1" customWidth="1"/>
    <col min="9741" max="9741" width="9.140625" style="1"/>
    <col min="9742" max="9742" width="23.140625" style="1" customWidth="1"/>
    <col min="9743" max="9743" width="9.140625" style="1"/>
    <col min="9744" max="9744" width="12.5703125" style="1" customWidth="1"/>
    <col min="9745" max="9984" width="9.140625" style="1"/>
    <col min="9985" max="9985" width="4.5703125" style="1" customWidth="1"/>
    <col min="9986" max="9986" width="60.7109375" style="1" customWidth="1"/>
    <col min="9987" max="9987" width="23.85546875" style="1" customWidth="1"/>
    <col min="9988" max="9989" width="21.140625" style="1" customWidth="1"/>
    <col min="9990" max="9990" width="20.42578125" style="1" customWidth="1"/>
    <col min="9991" max="9991" width="21" style="1" customWidth="1"/>
    <col min="9992" max="9992" width="20.85546875" style="1" customWidth="1"/>
    <col min="9993" max="9993" width="20.7109375" style="1" customWidth="1"/>
    <col min="9994" max="9994" width="23.85546875" style="1" bestFit="1" customWidth="1"/>
    <col min="9995" max="9995" width="20.85546875" style="1" customWidth="1"/>
    <col min="9996" max="9996" width="20.7109375" style="1" customWidth="1"/>
    <col min="9997" max="9997" width="9.140625" style="1"/>
    <col min="9998" max="9998" width="23.140625" style="1" customWidth="1"/>
    <col min="9999" max="9999" width="9.140625" style="1"/>
    <col min="10000" max="10000" width="12.5703125" style="1" customWidth="1"/>
    <col min="10001" max="10240" width="9.140625" style="1"/>
    <col min="10241" max="10241" width="4.5703125" style="1" customWidth="1"/>
    <col min="10242" max="10242" width="60.7109375" style="1" customWidth="1"/>
    <col min="10243" max="10243" width="23.85546875" style="1" customWidth="1"/>
    <col min="10244" max="10245" width="21.140625" style="1" customWidth="1"/>
    <col min="10246" max="10246" width="20.42578125" style="1" customWidth="1"/>
    <col min="10247" max="10247" width="21" style="1" customWidth="1"/>
    <col min="10248" max="10248" width="20.85546875" style="1" customWidth="1"/>
    <col min="10249" max="10249" width="20.7109375" style="1" customWidth="1"/>
    <col min="10250" max="10250" width="23.85546875" style="1" bestFit="1" customWidth="1"/>
    <col min="10251" max="10251" width="20.85546875" style="1" customWidth="1"/>
    <col min="10252" max="10252" width="20.7109375" style="1" customWidth="1"/>
    <col min="10253" max="10253" width="9.140625" style="1"/>
    <col min="10254" max="10254" width="23.140625" style="1" customWidth="1"/>
    <col min="10255" max="10255" width="9.140625" style="1"/>
    <col min="10256" max="10256" width="12.5703125" style="1" customWidth="1"/>
    <col min="10257" max="10496" width="9.140625" style="1"/>
    <col min="10497" max="10497" width="4.5703125" style="1" customWidth="1"/>
    <col min="10498" max="10498" width="60.7109375" style="1" customWidth="1"/>
    <col min="10499" max="10499" width="23.85546875" style="1" customWidth="1"/>
    <col min="10500" max="10501" width="21.140625" style="1" customWidth="1"/>
    <col min="10502" max="10502" width="20.42578125" style="1" customWidth="1"/>
    <col min="10503" max="10503" width="21" style="1" customWidth="1"/>
    <col min="10504" max="10504" width="20.85546875" style="1" customWidth="1"/>
    <col min="10505" max="10505" width="20.7109375" style="1" customWidth="1"/>
    <col min="10506" max="10506" width="23.85546875" style="1" bestFit="1" customWidth="1"/>
    <col min="10507" max="10507" width="20.85546875" style="1" customWidth="1"/>
    <col min="10508" max="10508" width="20.7109375" style="1" customWidth="1"/>
    <col min="10509" max="10509" width="9.140625" style="1"/>
    <col min="10510" max="10510" width="23.140625" style="1" customWidth="1"/>
    <col min="10511" max="10511" width="9.140625" style="1"/>
    <col min="10512" max="10512" width="12.5703125" style="1" customWidth="1"/>
    <col min="10513" max="10752" width="9.140625" style="1"/>
    <col min="10753" max="10753" width="4.5703125" style="1" customWidth="1"/>
    <col min="10754" max="10754" width="60.7109375" style="1" customWidth="1"/>
    <col min="10755" max="10755" width="23.85546875" style="1" customWidth="1"/>
    <col min="10756" max="10757" width="21.140625" style="1" customWidth="1"/>
    <col min="10758" max="10758" width="20.42578125" style="1" customWidth="1"/>
    <col min="10759" max="10759" width="21" style="1" customWidth="1"/>
    <col min="10760" max="10760" width="20.85546875" style="1" customWidth="1"/>
    <col min="10761" max="10761" width="20.7109375" style="1" customWidth="1"/>
    <col min="10762" max="10762" width="23.85546875" style="1" bestFit="1" customWidth="1"/>
    <col min="10763" max="10763" width="20.85546875" style="1" customWidth="1"/>
    <col min="10764" max="10764" width="20.7109375" style="1" customWidth="1"/>
    <col min="10765" max="10765" width="9.140625" style="1"/>
    <col min="10766" max="10766" width="23.140625" style="1" customWidth="1"/>
    <col min="10767" max="10767" width="9.140625" style="1"/>
    <col min="10768" max="10768" width="12.5703125" style="1" customWidth="1"/>
    <col min="10769" max="11008" width="9.140625" style="1"/>
    <col min="11009" max="11009" width="4.5703125" style="1" customWidth="1"/>
    <col min="11010" max="11010" width="60.7109375" style="1" customWidth="1"/>
    <col min="11011" max="11011" width="23.85546875" style="1" customWidth="1"/>
    <col min="11012" max="11013" width="21.140625" style="1" customWidth="1"/>
    <col min="11014" max="11014" width="20.42578125" style="1" customWidth="1"/>
    <col min="11015" max="11015" width="21" style="1" customWidth="1"/>
    <col min="11016" max="11016" width="20.85546875" style="1" customWidth="1"/>
    <col min="11017" max="11017" width="20.7109375" style="1" customWidth="1"/>
    <col min="11018" max="11018" width="23.85546875" style="1" bestFit="1" customWidth="1"/>
    <col min="11019" max="11019" width="20.85546875" style="1" customWidth="1"/>
    <col min="11020" max="11020" width="20.7109375" style="1" customWidth="1"/>
    <col min="11021" max="11021" width="9.140625" style="1"/>
    <col min="11022" max="11022" width="23.140625" style="1" customWidth="1"/>
    <col min="11023" max="11023" width="9.140625" style="1"/>
    <col min="11024" max="11024" width="12.5703125" style="1" customWidth="1"/>
    <col min="11025" max="11264" width="9.140625" style="1"/>
    <col min="11265" max="11265" width="4.5703125" style="1" customWidth="1"/>
    <col min="11266" max="11266" width="60.7109375" style="1" customWidth="1"/>
    <col min="11267" max="11267" width="23.85546875" style="1" customWidth="1"/>
    <col min="11268" max="11269" width="21.140625" style="1" customWidth="1"/>
    <col min="11270" max="11270" width="20.42578125" style="1" customWidth="1"/>
    <col min="11271" max="11271" width="21" style="1" customWidth="1"/>
    <col min="11272" max="11272" width="20.85546875" style="1" customWidth="1"/>
    <col min="11273" max="11273" width="20.7109375" style="1" customWidth="1"/>
    <col min="11274" max="11274" width="23.85546875" style="1" bestFit="1" customWidth="1"/>
    <col min="11275" max="11275" width="20.85546875" style="1" customWidth="1"/>
    <col min="11276" max="11276" width="20.7109375" style="1" customWidth="1"/>
    <col min="11277" max="11277" width="9.140625" style="1"/>
    <col min="11278" max="11278" width="23.140625" style="1" customWidth="1"/>
    <col min="11279" max="11279" width="9.140625" style="1"/>
    <col min="11280" max="11280" width="12.5703125" style="1" customWidth="1"/>
    <col min="11281" max="11520" width="9.140625" style="1"/>
    <col min="11521" max="11521" width="4.5703125" style="1" customWidth="1"/>
    <col min="11522" max="11522" width="60.7109375" style="1" customWidth="1"/>
    <col min="11523" max="11523" width="23.85546875" style="1" customWidth="1"/>
    <col min="11524" max="11525" width="21.140625" style="1" customWidth="1"/>
    <col min="11526" max="11526" width="20.42578125" style="1" customWidth="1"/>
    <col min="11527" max="11527" width="21" style="1" customWidth="1"/>
    <col min="11528" max="11528" width="20.85546875" style="1" customWidth="1"/>
    <col min="11529" max="11529" width="20.7109375" style="1" customWidth="1"/>
    <col min="11530" max="11530" width="23.85546875" style="1" bestFit="1" customWidth="1"/>
    <col min="11531" max="11531" width="20.85546875" style="1" customWidth="1"/>
    <col min="11532" max="11532" width="20.7109375" style="1" customWidth="1"/>
    <col min="11533" max="11533" width="9.140625" style="1"/>
    <col min="11534" max="11534" width="23.140625" style="1" customWidth="1"/>
    <col min="11535" max="11535" width="9.140625" style="1"/>
    <col min="11536" max="11536" width="12.5703125" style="1" customWidth="1"/>
    <col min="11537" max="11776" width="9.140625" style="1"/>
    <col min="11777" max="11777" width="4.5703125" style="1" customWidth="1"/>
    <col min="11778" max="11778" width="60.7109375" style="1" customWidth="1"/>
    <col min="11779" max="11779" width="23.85546875" style="1" customWidth="1"/>
    <col min="11780" max="11781" width="21.140625" style="1" customWidth="1"/>
    <col min="11782" max="11782" width="20.42578125" style="1" customWidth="1"/>
    <col min="11783" max="11783" width="21" style="1" customWidth="1"/>
    <col min="11784" max="11784" width="20.85546875" style="1" customWidth="1"/>
    <col min="11785" max="11785" width="20.7109375" style="1" customWidth="1"/>
    <col min="11786" max="11786" width="23.85546875" style="1" bestFit="1" customWidth="1"/>
    <col min="11787" max="11787" width="20.85546875" style="1" customWidth="1"/>
    <col min="11788" max="11788" width="20.7109375" style="1" customWidth="1"/>
    <col min="11789" max="11789" width="9.140625" style="1"/>
    <col min="11790" max="11790" width="23.140625" style="1" customWidth="1"/>
    <col min="11791" max="11791" width="9.140625" style="1"/>
    <col min="11792" max="11792" width="12.5703125" style="1" customWidth="1"/>
    <col min="11793" max="12032" width="9.140625" style="1"/>
    <col min="12033" max="12033" width="4.5703125" style="1" customWidth="1"/>
    <col min="12034" max="12034" width="60.7109375" style="1" customWidth="1"/>
    <col min="12035" max="12035" width="23.85546875" style="1" customWidth="1"/>
    <col min="12036" max="12037" width="21.140625" style="1" customWidth="1"/>
    <col min="12038" max="12038" width="20.42578125" style="1" customWidth="1"/>
    <col min="12039" max="12039" width="21" style="1" customWidth="1"/>
    <col min="12040" max="12040" width="20.85546875" style="1" customWidth="1"/>
    <col min="12041" max="12041" width="20.7109375" style="1" customWidth="1"/>
    <col min="12042" max="12042" width="23.85546875" style="1" bestFit="1" customWidth="1"/>
    <col min="12043" max="12043" width="20.85546875" style="1" customWidth="1"/>
    <col min="12044" max="12044" width="20.7109375" style="1" customWidth="1"/>
    <col min="12045" max="12045" width="9.140625" style="1"/>
    <col min="12046" max="12046" width="23.140625" style="1" customWidth="1"/>
    <col min="12047" max="12047" width="9.140625" style="1"/>
    <col min="12048" max="12048" width="12.5703125" style="1" customWidth="1"/>
    <col min="12049" max="12288" width="9.140625" style="1"/>
    <col min="12289" max="12289" width="4.5703125" style="1" customWidth="1"/>
    <col min="12290" max="12290" width="60.7109375" style="1" customWidth="1"/>
    <col min="12291" max="12291" width="23.85546875" style="1" customWidth="1"/>
    <col min="12292" max="12293" width="21.140625" style="1" customWidth="1"/>
    <col min="12294" max="12294" width="20.42578125" style="1" customWidth="1"/>
    <col min="12295" max="12295" width="21" style="1" customWidth="1"/>
    <col min="12296" max="12296" width="20.85546875" style="1" customWidth="1"/>
    <col min="12297" max="12297" width="20.7109375" style="1" customWidth="1"/>
    <col min="12298" max="12298" width="23.85546875" style="1" bestFit="1" customWidth="1"/>
    <col min="12299" max="12299" width="20.85546875" style="1" customWidth="1"/>
    <col min="12300" max="12300" width="20.7109375" style="1" customWidth="1"/>
    <col min="12301" max="12301" width="9.140625" style="1"/>
    <col min="12302" max="12302" width="23.140625" style="1" customWidth="1"/>
    <col min="12303" max="12303" width="9.140625" style="1"/>
    <col min="12304" max="12304" width="12.5703125" style="1" customWidth="1"/>
    <col min="12305" max="12544" width="9.140625" style="1"/>
    <col min="12545" max="12545" width="4.5703125" style="1" customWidth="1"/>
    <col min="12546" max="12546" width="60.7109375" style="1" customWidth="1"/>
    <col min="12547" max="12547" width="23.85546875" style="1" customWidth="1"/>
    <col min="12548" max="12549" width="21.140625" style="1" customWidth="1"/>
    <col min="12550" max="12550" width="20.42578125" style="1" customWidth="1"/>
    <col min="12551" max="12551" width="21" style="1" customWidth="1"/>
    <col min="12552" max="12552" width="20.85546875" style="1" customWidth="1"/>
    <col min="12553" max="12553" width="20.7109375" style="1" customWidth="1"/>
    <col min="12554" max="12554" width="23.85546875" style="1" bestFit="1" customWidth="1"/>
    <col min="12555" max="12555" width="20.85546875" style="1" customWidth="1"/>
    <col min="12556" max="12556" width="20.7109375" style="1" customWidth="1"/>
    <col min="12557" max="12557" width="9.140625" style="1"/>
    <col min="12558" max="12558" width="23.140625" style="1" customWidth="1"/>
    <col min="12559" max="12559" width="9.140625" style="1"/>
    <col min="12560" max="12560" width="12.5703125" style="1" customWidth="1"/>
    <col min="12561" max="12800" width="9.140625" style="1"/>
    <col min="12801" max="12801" width="4.5703125" style="1" customWidth="1"/>
    <col min="12802" max="12802" width="60.7109375" style="1" customWidth="1"/>
    <col min="12803" max="12803" width="23.85546875" style="1" customWidth="1"/>
    <col min="12804" max="12805" width="21.140625" style="1" customWidth="1"/>
    <col min="12806" max="12806" width="20.42578125" style="1" customWidth="1"/>
    <col min="12807" max="12807" width="21" style="1" customWidth="1"/>
    <col min="12808" max="12808" width="20.85546875" style="1" customWidth="1"/>
    <col min="12809" max="12809" width="20.7109375" style="1" customWidth="1"/>
    <col min="12810" max="12810" width="23.85546875" style="1" bestFit="1" customWidth="1"/>
    <col min="12811" max="12811" width="20.85546875" style="1" customWidth="1"/>
    <col min="12812" max="12812" width="20.7109375" style="1" customWidth="1"/>
    <col min="12813" max="12813" width="9.140625" style="1"/>
    <col min="12814" max="12814" width="23.140625" style="1" customWidth="1"/>
    <col min="12815" max="12815" width="9.140625" style="1"/>
    <col min="12816" max="12816" width="12.5703125" style="1" customWidth="1"/>
    <col min="12817" max="13056" width="9.140625" style="1"/>
    <col min="13057" max="13057" width="4.5703125" style="1" customWidth="1"/>
    <col min="13058" max="13058" width="60.7109375" style="1" customWidth="1"/>
    <col min="13059" max="13059" width="23.85546875" style="1" customWidth="1"/>
    <col min="13060" max="13061" width="21.140625" style="1" customWidth="1"/>
    <col min="13062" max="13062" width="20.42578125" style="1" customWidth="1"/>
    <col min="13063" max="13063" width="21" style="1" customWidth="1"/>
    <col min="13064" max="13064" width="20.85546875" style="1" customWidth="1"/>
    <col min="13065" max="13065" width="20.7109375" style="1" customWidth="1"/>
    <col min="13066" max="13066" width="23.85546875" style="1" bestFit="1" customWidth="1"/>
    <col min="13067" max="13067" width="20.85546875" style="1" customWidth="1"/>
    <col min="13068" max="13068" width="20.7109375" style="1" customWidth="1"/>
    <col min="13069" max="13069" width="9.140625" style="1"/>
    <col min="13070" max="13070" width="23.140625" style="1" customWidth="1"/>
    <col min="13071" max="13071" width="9.140625" style="1"/>
    <col min="13072" max="13072" width="12.5703125" style="1" customWidth="1"/>
    <col min="13073" max="13312" width="9.140625" style="1"/>
    <col min="13313" max="13313" width="4.5703125" style="1" customWidth="1"/>
    <col min="13314" max="13314" width="60.7109375" style="1" customWidth="1"/>
    <col min="13315" max="13315" width="23.85546875" style="1" customWidth="1"/>
    <col min="13316" max="13317" width="21.140625" style="1" customWidth="1"/>
    <col min="13318" max="13318" width="20.42578125" style="1" customWidth="1"/>
    <col min="13319" max="13319" width="21" style="1" customWidth="1"/>
    <col min="13320" max="13320" width="20.85546875" style="1" customWidth="1"/>
    <col min="13321" max="13321" width="20.7109375" style="1" customWidth="1"/>
    <col min="13322" max="13322" width="23.85546875" style="1" bestFit="1" customWidth="1"/>
    <col min="13323" max="13323" width="20.85546875" style="1" customWidth="1"/>
    <col min="13324" max="13324" width="20.7109375" style="1" customWidth="1"/>
    <col min="13325" max="13325" width="9.140625" style="1"/>
    <col min="13326" max="13326" width="23.140625" style="1" customWidth="1"/>
    <col min="13327" max="13327" width="9.140625" style="1"/>
    <col min="13328" max="13328" width="12.5703125" style="1" customWidth="1"/>
    <col min="13329" max="13568" width="9.140625" style="1"/>
    <col min="13569" max="13569" width="4.5703125" style="1" customWidth="1"/>
    <col min="13570" max="13570" width="60.7109375" style="1" customWidth="1"/>
    <col min="13571" max="13571" width="23.85546875" style="1" customWidth="1"/>
    <col min="13572" max="13573" width="21.140625" style="1" customWidth="1"/>
    <col min="13574" max="13574" width="20.42578125" style="1" customWidth="1"/>
    <col min="13575" max="13575" width="21" style="1" customWidth="1"/>
    <col min="13576" max="13576" width="20.85546875" style="1" customWidth="1"/>
    <col min="13577" max="13577" width="20.7109375" style="1" customWidth="1"/>
    <col min="13578" max="13578" width="23.85546875" style="1" bestFit="1" customWidth="1"/>
    <col min="13579" max="13579" width="20.85546875" style="1" customWidth="1"/>
    <col min="13580" max="13580" width="20.7109375" style="1" customWidth="1"/>
    <col min="13581" max="13581" width="9.140625" style="1"/>
    <col min="13582" max="13582" width="23.140625" style="1" customWidth="1"/>
    <col min="13583" max="13583" width="9.140625" style="1"/>
    <col min="13584" max="13584" width="12.5703125" style="1" customWidth="1"/>
    <col min="13585" max="13824" width="9.140625" style="1"/>
    <col min="13825" max="13825" width="4.5703125" style="1" customWidth="1"/>
    <col min="13826" max="13826" width="60.7109375" style="1" customWidth="1"/>
    <col min="13827" max="13827" width="23.85546875" style="1" customWidth="1"/>
    <col min="13828" max="13829" width="21.140625" style="1" customWidth="1"/>
    <col min="13830" max="13830" width="20.42578125" style="1" customWidth="1"/>
    <col min="13831" max="13831" width="21" style="1" customWidth="1"/>
    <col min="13832" max="13832" width="20.85546875" style="1" customWidth="1"/>
    <col min="13833" max="13833" width="20.7109375" style="1" customWidth="1"/>
    <col min="13834" max="13834" width="23.85546875" style="1" bestFit="1" customWidth="1"/>
    <col min="13835" max="13835" width="20.85546875" style="1" customWidth="1"/>
    <col min="13836" max="13836" width="20.7109375" style="1" customWidth="1"/>
    <col min="13837" max="13837" width="9.140625" style="1"/>
    <col min="13838" max="13838" width="23.140625" style="1" customWidth="1"/>
    <col min="13839" max="13839" width="9.140625" style="1"/>
    <col min="13840" max="13840" width="12.5703125" style="1" customWidth="1"/>
    <col min="13841" max="14080" width="9.140625" style="1"/>
    <col min="14081" max="14081" width="4.5703125" style="1" customWidth="1"/>
    <col min="14082" max="14082" width="60.7109375" style="1" customWidth="1"/>
    <col min="14083" max="14083" width="23.85546875" style="1" customWidth="1"/>
    <col min="14084" max="14085" width="21.140625" style="1" customWidth="1"/>
    <col min="14086" max="14086" width="20.42578125" style="1" customWidth="1"/>
    <col min="14087" max="14087" width="21" style="1" customWidth="1"/>
    <col min="14088" max="14088" width="20.85546875" style="1" customWidth="1"/>
    <col min="14089" max="14089" width="20.7109375" style="1" customWidth="1"/>
    <col min="14090" max="14090" width="23.85546875" style="1" bestFit="1" customWidth="1"/>
    <col min="14091" max="14091" width="20.85546875" style="1" customWidth="1"/>
    <col min="14092" max="14092" width="20.7109375" style="1" customWidth="1"/>
    <col min="14093" max="14093" width="9.140625" style="1"/>
    <col min="14094" max="14094" width="23.140625" style="1" customWidth="1"/>
    <col min="14095" max="14095" width="9.140625" style="1"/>
    <col min="14096" max="14096" width="12.5703125" style="1" customWidth="1"/>
    <col min="14097" max="14336" width="9.140625" style="1"/>
    <col min="14337" max="14337" width="4.5703125" style="1" customWidth="1"/>
    <col min="14338" max="14338" width="60.7109375" style="1" customWidth="1"/>
    <col min="14339" max="14339" width="23.85546875" style="1" customWidth="1"/>
    <col min="14340" max="14341" width="21.140625" style="1" customWidth="1"/>
    <col min="14342" max="14342" width="20.42578125" style="1" customWidth="1"/>
    <col min="14343" max="14343" width="21" style="1" customWidth="1"/>
    <col min="14344" max="14344" width="20.85546875" style="1" customWidth="1"/>
    <col min="14345" max="14345" width="20.7109375" style="1" customWidth="1"/>
    <col min="14346" max="14346" width="23.85546875" style="1" bestFit="1" customWidth="1"/>
    <col min="14347" max="14347" width="20.85546875" style="1" customWidth="1"/>
    <col min="14348" max="14348" width="20.7109375" style="1" customWidth="1"/>
    <col min="14349" max="14349" width="9.140625" style="1"/>
    <col min="14350" max="14350" width="23.140625" style="1" customWidth="1"/>
    <col min="14351" max="14351" width="9.140625" style="1"/>
    <col min="14352" max="14352" width="12.5703125" style="1" customWidth="1"/>
    <col min="14353" max="14592" width="9.140625" style="1"/>
    <col min="14593" max="14593" width="4.5703125" style="1" customWidth="1"/>
    <col min="14594" max="14594" width="60.7109375" style="1" customWidth="1"/>
    <col min="14595" max="14595" width="23.85546875" style="1" customWidth="1"/>
    <col min="14596" max="14597" width="21.140625" style="1" customWidth="1"/>
    <col min="14598" max="14598" width="20.42578125" style="1" customWidth="1"/>
    <col min="14599" max="14599" width="21" style="1" customWidth="1"/>
    <col min="14600" max="14600" width="20.85546875" style="1" customWidth="1"/>
    <col min="14601" max="14601" width="20.7109375" style="1" customWidth="1"/>
    <col min="14602" max="14602" width="23.85546875" style="1" bestFit="1" customWidth="1"/>
    <col min="14603" max="14603" width="20.85546875" style="1" customWidth="1"/>
    <col min="14604" max="14604" width="20.7109375" style="1" customWidth="1"/>
    <col min="14605" max="14605" width="9.140625" style="1"/>
    <col min="14606" max="14606" width="23.140625" style="1" customWidth="1"/>
    <col min="14607" max="14607" width="9.140625" style="1"/>
    <col min="14608" max="14608" width="12.5703125" style="1" customWidth="1"/>
    <col min="14609" max="14848" width="9.140625" style="1"/>
    <col min="14849" max="14849" width="4.5703125" style="1" customWidth="1"/>
    <col min="14850" max="14850" width="60.7109375" style="1" customWidth="1"/>
    <col min="14851" max="14851" width="23.85546875" style="1" customWidth="1"/>
    <col min="14852" max="14853" width="21.140625" style="1" customWidth="1"/>
    <col min="14854" max="14854" width="20.42578125" style="1" customWidth="1"/>
    <col min="14855" max="14855" width="21" style="1" customWidth="1"/>
    <col min="14856" max="14856" width="20.85546875" style="1" customWidth="1"/>
    <col min="14857" max="14857" width="20.7109375" style="1" customWidth="1"/>
    <col min="14858" max="14858" width="23.85546875" style="1" bestFit="1" customWidth="1"/>
    <col min="14859" max="14859" width="20.85546875" style="1" customWidth="1"/>
    <col min="14860" max="14860" width="20.7109375" style="1" customWidth="1"/>
    <col min="14861" max="14861" width="9.140625" style="1"/>
    <col min="14862" max="14862" width="23.140625" style="1" customWidth="1"/>
    <col min="14863" max="14863" width="9.140625" style="1"/>
    <col min="14864" max="14864" width="12.5703125" style="1" customWidth="1"/>
    <col min="14865" max="15104" width="9.140625" style="1"/>
    <col min="15105" max="15105" width="4.5703125" style="1" customWidth="1"/>
    <col min="15106" max="15106" width="60.7109375" style="1" customWidth="1"/>
    <col min="15107" max="15107" width="23.85546875" style="1" customWidth="1"/>
    <col min="15108" max="15109" width="21.140625" style="1" customWidth="1"/>
    <col min="15110" max="15110" width="20.42578125" style="1" customWidth="1"/>
    <col min="15111" max="15111" width="21" style="1" customWidth="1"/>
    <col min="15112" max="15112" width="20.85546875" style="1" customWidth="1"/>
    <col min="15113" max="15113" width="20.7109375" style="1" customWidth="1"/>
    <col min="15114" max="15114" width="23.85546875" style="1" bestFit="1" customWidth="1"/>
    <col min="15115" max="15115" width="20.85546875" style="1" customWidth="1"/>
    <col min="15116" max="15116" width="20.7109375" style="1" customWidth="1"/>
    <col min="15117" max="15117" width="9.140625" style="1"/>
    <col min="15118" max="15118" width="23.140625" style="1" customWidth="1"/>
    <col min="15119" max="15119" width="9.140625" style="1"/>
    <col min="15120" max="15120" width="12.5703125" style="1" customWidth="1"/>
    <col min="15121" max="15360" width="9.140625" style="1"/>
    <col min="15361" max="15361" width="4.5703125" style="1" customWidth="1"/>
    <col min="15362" max="15362" width="60.7109375" style="1" customWidth="1"/>
    <col min="15363" max="15363" width="23.85546875" style="1" customWidth="1"/>
    <col min="15364" max="15365" width="21.140625" style="1" customWidth="1"/>
    <col min="15366" max="15366" width="20.42578125" style="1" customWidth="1"/>
    <col min="15367" max="15367" width="21" style="1" customWidth="1"/>
    <col min="15368" max="15368" width="20.85546875" style="1" customWidth="1"/>
    <col min="15369" max="15369" width="20.7109375" style="1" customWidth="1"/>
    <col min="15370" max="15370" width="23.85546875" style="1" bestFit="1" customWidth="1"/>
    <col min="15371" max="15371" width="20.85546875" style="1" customWidth="1"/>
    <col min="15372" max="15372" width="20.7109375" style="1" customWidth="1"/>
    <col min="15373" max="15373" width="9.140625" style="1"/>
    <col min="15374" max="15374" width="23.140625" style="1" customWidth="1"/>
    <col min="15375" max="15375" width="9.140625" style="1"/>
    <col min="15376" max="15376" width="12.5703125" style="1" customWidth="1"/>
    <col min="15377" max="15616" width="9.140625" style="1"/>
    <col min="15617" max="15617" width="4.5703125" style="1" customWidth="1"/>
    <col min="15618" max="15618" width="60.7109375" style="1" customWidth="1"/>
    <col min="15619" max="15619" width="23.85546875" style="1" customWidth="1"/>
    <col min="15620" max="15621" width="21.140625" style="1" customWidth="1"/>
    <col min="15622" max="15622" width="20.42578125" style="1" customWidth="1"/>
    <col min="15623" max="15623" width="21" style="1" customWidth="1"/>
    <col min="15624" max="15624" width="20.85546875" style="1" customWidth="1"/>
    <col min="15625" max="15625" width="20.7109375" style="1" customWidth="1"/>
    <col min="15626" max="15626" width="23.85546875" style="1" bestFit="1" customWidth="1"/>
    <col min="15627" max="15627" width="20.85546875" style="1" customWidth="1"/>
    <col min="15628" max="15628" width="20.7109375" style="1" customWidth="1"/>
    <col min="15629" max="15629" width="9.140625" style="1"/>
    <col min="15630" max="15630" width="23.140625" style="1" customWidth="1"/>
    <col min="15631" max="15631" width="9.140625" style="1"/>
    <col min="15632" max="15632" width="12.5703125" style="1" customWidth="1"/>
    <col min="15633" max="15872" width="9.140625" style="1"/>
    <col min="15873" max="15873" width="4.5703125" style="1" customWidth="1"/>
    <col min="15874" max="15874" width="60.7109375" style="1" customWidth="1"/>
    <col min="15875" max="15875" width="23.85546875" style="1" customWidth="1"/>
    <col min="15876" max="15877" width="21.140625" style="1" customWidth="1"/>
    <col min="15878" max="15878" width="20.42578125" style="1" customWidth="1"/>
    <col min="15879" max="15879" width="21" style="1" customWidth="1"/>
    <col min="15880" max="15880" width="20.85546875" style="1" customWidth="1"/>
    <col min="15881" max="15881" width="20.7109375" style="1" customWidth="1"/>
    <col min="15882" max="15882" width="23.85546875" style="1" bestFit="1" customWidth="1"/>
    <col min="15883" max="15883" width="20.85546875" style="1" customWidth="1"/>
    <col min="15884" max="15884" width="20.7109375" style="1" customWidth="1"/>
    <col min="15885" max="15885" width="9.140625" style="1"/>
    <col min="15886" max="15886" width="23.140625" style="1" customWidth="1"/>
    <col min="15887" max="15887" width="9.140625" style="1"/>
    <col min="15888" max="15888" width="12.5703125" style="1" customWidth="1"/>
    <col min="15889" max="16128" width="9.140625" style="1"/>
    <col min="16129" max="16129" width="4.5703125" style="1" customWidth="1"/>
    <col min="16130" max="16130" width="60.7109375" style="1" customWidth="1"/>
    <col min="16131" max="16131" width="23.85546875" style="1" customWidth="1"/>
    <col min="16132" max="16133" width="21.140625" style="1" customWidth="1"/>
    <col min="16134" max="16134" width="20.42578125" style="1" customWidth="1"/>
    <col min="16135" max="16135" width="21" style="1" customWidth="1"/>
    <col min="16136" max="16136" width="20.85546875" style="1" customWidth="1"/>
    <col min="16137" max="16137" width="20.7109375" style="1" customWidth="1"/>
    <col min="16138" max="16138" width="23.85546875" style="1" bestFit="1" customWidth="1"/>
    <col min="16139" max="16139" width="20.85546875" style="1" customWidth="1"/>
    <col min="16140" max="16140" width="20.7109375" style="1" customWidth="1"/>
    <col min="16141" max="16141" width="9.140625" style="1"/>
    <col min="16142" max="16142" width="23.140625" style="1" customWidth="1"/>
    <col min="16143" max="16143" width="9.140625" style="1"/>
    <col min="16144" max="16144" width="12.5703125" style="1" customWidth="1"/>
    <col min="16145" max="16384" width="9.140625" style="1"/>
  </cols>
  <sheetData>
    <row r="1" spans="1:15" ht="18" x14ac:dyDescent="0.25">
      <c r="C1" s="6"/>
      <c r="M1" s="614" t="s">
        <v>5</v>
      </c>
      <c r="N1" s="574"/>
      <c r="O1" s="574"/>
    </row>
    <row r="2" spans="1:15" ht="20.25" customHeight="1" x14ac:dyDescent="0.35">
      <c r="C2" s="545" t="s">
        <v>88</v>
      </c>
      <c r="D2" s="545"/>
      <c r="E2" s="545"/>
      <c r="F2" s="545"/>
      <c r="G2" s="545"/>
      <c r="H2" s="545"/>
      <c r="I2" s="545"/>
      <c r="J2" s="545"/>
      <c r="K2" s="545"/>
      <c r="L2" s="545"/>
      <c r="M2" s="545"/>
      <c r="N2" s="545"/>
      <c r="O2" s="545"/>
    </row>
    <row r="3" spans="1:15" ht="20.25" customHeight="1" x14ac:dyDescent="0.35">
      <c r="A3" s="2"/>
      <c r="C3" s="545" t="s">
        <v>112</v>
      </c>
      <c r="D3" s="545"/>
      <c r="E3" s="545"/>
      <c r="F3" s="545"/>
      <c r="G3" s="545"/>
      <c r="H3" s="545"/>
      <c r="I3" s="545"/>
      <c r="J3" s="545"/>
      <c r="K3" s="545"/>
      <c r="L3" s="545"/>
      <c r="M3" s="545"/>
      <c r="N3" s="545"/>
      <c r="O3" s="545"/>
    </row>
    <row r="4" spans="1:15" ht="20.25" customHeight="1" x14ac:dyDescent="0.35">
      <c r="A4" s="2"/>
      <c r="C4" s="545" t="s">
        <v>61</v>
      </c>
      <c r="D4" s="545"/>
      <c r="E4" s="545"/>
      <c r="F4" s="545"/>
      <c r="G4" s="545"/>
      <c r="H4" s="545"/>
      <c r="I4" s="545"/>
      <c r="J4" s="545"/>
      <c r="K4" s="545"/>
      <c r="L4" s="545"/>
      <c r="M4" s="545"/>
      <c r="N4" s="545"/>
      <c r="O4" s="545"/>
    </row>
    <row r="5" spans="1:15" ht="20.25" customHeight="1" thickBot="1" x14ac:dyDescent="0.35">
      <c r="A5" s="2"/>
      <c r="C5" s="615" t="s">
        <v>5</v>
      </c>
      <c r="D5" s="615"/>
      <c r="E5" s="615"/>
      <c r="F5" s="615"/>
      <c r="G5" s="615"/>
      <c r="H5" s="615"/>
      <c r="I5" s="615"/>
      <c r="J5" s="615"/>
      <c r="K5" s="615"/>
      <c r="L5" s="615"/>
      <c r="M5" s="615"/>
      <c r="N5" s="615"/>
      <c r="O5" s="615"/>
    </row>
    <row r="6" spans="1:15" s="7" customFormat="1" ht="17.25" customHeight="1" x14ac:dyDescent="0.25">
      <c r="A6" s="6"/>
      <c r="B6" s="223"/>
      <c r="C6" s="200"/>
      <c r="D6" s="166">
        <v>2013</v>
      </c>
      <c r="E6" s="166">
        <v>2014</v>
      </c>
      <c r="F6" s="166">
        <v>2015</v>
      </c>
      <c r="G6" s="166">
        <v>2016</v>
      </c>
      <c r="H6" s="166">
        <v>2017</v>
      </c>
      <c r="I6" s="166">
        <v>2018</v>
      </c>
      <c r="J6" s="166">
        <v>2019</v>
      </c>
      <c r="K6" s="166">
        <v>2020</v>
      </c>
      <c r="L6" s="166">
        <v>2021</v>
      </c>
      <c r="M6" s="166">
        <v>2022</v>
      </c>
      <c r="N6" s="166">
        <v>2023</v>
      </c>
      <c r="O6" s="166">
        <v>2024</v>
      </c>
    </row>
    <row r="7" spans="1:15" ht="18" x14ac:dyDescent="0.25">
      <c r="A7" s="6"/>
      <c r="B7" s="223"/>
      <c r="C7" s="201"/>
      <c r="D7" s="170" t="s">
        <v>62</v>
      </c>
      <c r="E7" s="170" t="s">
        <v>62</v>
      </c>
      <c r="F7" s="170" t="s">
        <v>62</v>
      </c>
      <c r="G7" s="170" t="s">
        <v>62</v>
      </c>
      <c r="H7" s="170" t="s">
        <v>62</v>
      </c>
      <c r="I7" s="170" t="s">
        <v>62</v>
      </c>
      <c r="J7" s="170" t="s">
        <v>62</v>
      </c>
      <c r="K7" s="170" t="s">
        <v>62</v>
      </c>
      <c r="L7" s="170" t="s">
        <v>62</v>
      </c>
      <c r="M7" s="170" t="s">
        <v>209</v>
      </c>
      <c r="N7" s="170" t="s">
        <v>209</v>
      </c>
      <c r="O7" s="170" t="s">
        <v>209</v>
      </c>
    </row>
    <row r="8" spans="1:15" ht="18" x14ac:dyDescent="0.25">
      <c r="A8" s="6"/>
      <c r="B8" s="223"/>
      <c r="C8" s="169" t="s">
        <v>140</v>
      </c>
      <c r="D8" s="170"/>
      <c r="E8" s="170"/>
      <c r="F8" s="170"/>
      <c r="G8" s="170"/>
      <c r="H8" s="170"/>
      <c r="I8" s="170"/>
      <c r="J8" s="170"/>
      <c r="K8" s="170"/>
      <c r="L8" s="170"/>
      <c r="M8" s="170"/>
      <c r="N8" s="170"/>
      <c r="O8" s="170"/>
    </row>
    <row r="9" spans="1:15" ht="18.75" thickBot="1" x14ac:dyDescent="0.3">
      <c r="A9" s="6"/>
      <c r="B9" s="223"/>
      <c r="C9" s="203"/>
      <c r="D9" s="291"/>
      <c r="E9" s="291"/>
      <c r="F9" s="291"/>
      <c r="G9" s="291"/>
      <c r="H9" s="291"/>
      <c r="I9" s="291"/>
      <c r="J9" s="291"/>
      <c r="K9" s="291"/>
      <c r="L9" s="291"/>
      <c r="M9" s="291"/>
      <c r="N9" s="291"/>
      <c r="O9" s="291"/>
    </row>
    <row r="10" spans="1:15" s="8" customFormat="1" ht="22.5" customHeight="1" thickBot="1" x14ac:dyDescent="0.3">
      <c r="A10" s="6"/>
      <c r="B10" s="223"/>
      <c r="C10" s="616" t="s">
        <v>8</v>
      </c>
      <c r="D10" s="617"/>
      <c r="E10" s="617"/>
      <c r="F10" s="617"/>
      <c r="G10" s="617"/>
      <c r="H10" s="617"/>
      <c r="I10" s="617"/>
      <c r="J10" s="617"/>
      <c r="K10" s="617"/>
      <c r="L10" s="618"/>
      <c r="M10" s="618"/>
      <c r="N10" s="618"/>
      <c r="O10" s="618"/>
    </row>
    <row r="11" spans="1:15" s="2" customFormat="1" ht="24" customHeight="1" thickBot="1" x14ac:dyDescent="0.3">
      <c r="A11" s="9" t="s">
        <v>0</v>
      </c>
      <c r="B11" s="224"/>
      <c r="C11" s="177" t="s">
        <v>126</v>
      </c>
      <c r="D11" s="309">
        <v>1171781</v>
      </c>
      <c r="E11" s="309">
        <v>2045133.65</v>
      </c>
      <c r="F11" s="309">
        <v>3271203</v>
      </c>
      <c r="G11" s="309">
        <v>2657738</v>
      </c>
      <c r="H11" s="309">
        <v>2904240</v>
      </c>
      <c r="I11" s="309">
        <v>3247525</v>
      </c>
      <c r="J11" s="309">
        <v>4289703</v>
      </c>
      <c r="K11" s="309">
        <v>2436384</v>
      </c>
      <c r="L11" s="309">
        <v>3450404.1</v>
      </c>
      <c r="M11" s="309">
        <f>'[15] Eversource Gas_Table B'!$N8</f>
        <v>2237483.578048483</v>
      </c>
      <c r="N11" s="309">
        <f>'[15] Eversource Gas_Table B'!$N32</f>
        <v>1517699.709578404</v>
      </c>
      <c r="O11" s="309">
        <f>'[15] Eversource Gas_Table B'!$N55</f>
        <v>58881.482011918823</v>
      </c>
    </row>
    <row r="12" spans="1:15" s="2" customFormat="1" ht="54.75" thickBot="1" x14ac:dyDescent="0.3">
      <c r="A12" s="9" t="s">
        <v>0</v>
      </c>
      <c r="B12" s="224"/>
      <c r="C12" s="479" t="s">
        <v>314</v>
      </c>
      <c r="D12" s="309">
        <v>4136192.99</v>
      </c>
      <c r="E12" s="309">
        <v>5536786</v>
      </c>
      <c r="F12" s="309">
        <f>1894640+1083217+19242</f>
        <v>2997099</v>
      </c>
      <c r="G12" s="309">
        <v>4397581</v>
      </c>
      <c r="H12" s="309">
        <v>6073461</v>
      </c>
      <c r="I12" s="309">
        <v>3560522</v>
      </c>
      <c r="J12" s="309">
        <v>5187631</v>
      </c>
      <c r="K12" s="309">
        <v>4385006.29</v>
      </c>
      <c r="L12" s="309">
        <v>7447831.3399999999</v>
      </c>
      <c r="M12" s="309">
        <f>'[15] Eversource Gas_Table B'!$N9</f>
        <v>2112233.9137701471</v>
      </c>
      <c r="N12" s="309">
        <f>'[15] Eversource Gas_Table B'!$N33</f>
        <v>3330248.6125423266</v>
      </c>
      <c r="O12" s="309">
        <f>'[15] Eversource Gas_Table B'!$N56</f>
        <v>3848874.9130558246</v>
      </c>
    </row>
    <row r="13" spans="1:15" s="2" customFormat="1" ht="18.75" thickBot="1" x14ac:dyDescent="0.3">
      <c r="A13" s="9"/>
      <c r="B13" s="224"/>
      <c r="C13" s="479" t="s">
        <v>348</v>
      </c>
      <c r="D13" s="309">
        <v>0</v>
      </c>
      <c r="E13" s="309">
        <v>0</v>
      </c>
      <c r="F13" s="309">
        <v>0</v>
      </c>
      <c r="G13" s="309">
        <v>4845878</v>
      </c>
      <c r="H13" s="309">
        <v>5355264</v>
      </c>
      <c r="I13" s="309">
        <v>8262599</v>
      </c>
      <c r="J13" s="309">
        <v>6903273</v>
      </c>
      <c r="K13" s="309">
        <v>9123944</v>
      </c>
      <c r="L13" s="309">
        <v>9565167.3800000008</v>
      </c>
      <c r="M13" s="309">
        <f>'[15] Eversource Gas_Table B'!$N10</f>
        <v>8134612.3425008366</v>
      </c>
      <c r="N13" s="309">
        <f>'[15] Eversource Gas_Table B'!$N34</f>
        <v>9959488.5928341672</v>
      </c>
      <c r="O13" s="309">
        <f>'[15] Eversource Gas_Table B'!$N57</f>
        <v>10059662.232513005</v>
      </c>
    </row>
    <row r="14" spans="1:15" s="2" customFormat="1" ht="18.75" thickBot="1" x14ac:dyDescent="0.3">
      <c r="A14" s="9"/>
      <c r="B14" s="224"/>
      <c r="C14" s="177" t="s">
        <v>135</v>
      </c>
      <c r="D14" s="310">
        <f>425386</f>
        <v>425386</v>
      </c>
      <c r="E14" s="310">
        <v>1139707</v>
      </c>
      <c r="F14" s="310">
        <v>744112</v>
      </c>
      <c r="G14" s="310">
        <v>0</v>
      </c>
      <c r="H14" s="310">
        <v>0</v>
      </c>
      <c r="I14" s="310">
        <v>0</v>
      </c>
      <c r="J14" s="310">
        <v>0</v>
      </c>
      <c r="K14" s="310">
        <v>0</v>
      </c>
      <c r="L14" s="310">
        <v>0</v>
      </c>
      <c r="M14" s="310">
        <v>0</v>
      </c>
      <c r="N14" s="310">
        <v>0</v>
      </c>
      <c r="O14" s="310">
        <v>0</v>
      </c>
    </row>
    <row r="15" spans="1:15" s="2" customFormat="1" ht="18.75" thickBot="1" x14ac:dyDescent="0.3">
      <c r="A15" s="9"/>
      <c r="B15" s="224"/>
      <c r="C15" s="177" t="s">
        <v>134</v>
      </c>
      <c r="D15" s="310">
        <v>35662</v>
      </c>
      <c r="E15" s="310">
        <f>37186+33340+869935-0.17</f>
        <v>940460.83</v>
      </c>
      <c r="F15" s="310">
        <v>0</v>
      </c>
      <c r="G15" s="310">
        <v>0</v>
      </c>
      <c r="H15" s="310">
        <v>0</v>
      </c>
      <c r="I15" s="310">
        <v>0</v>
      </c>
      <c r="J15" s="310">
        <v>0</v>
      </c>
      <c r="K15" s="310">
        <v>0</v>
      </c>
      <c r="L15" s="310">
        <v>0</v>
      </c>
      <c r="M15" s="310">
        <v>0</v>
      </c>
      <c r="N15" s="310">
        <v>0</v>
      </c>
      <c r="O15" s="310">
        <v>0</v>
      </c>
    </row>
    <row r="16" spans="1:15" s="2" customFormat="1" ht="36.75" thickBot="1" x14ac:dyDescent="0.3">
      <c r="A16" s="9"/>
      <c r="B16" s="224"/>
      <c r="C16" s="295" t="s">
        <v>235</v>
      </c>
      <c r="D16" s="310">
        <v>829533</v>
      </c>
      <c r="E16" s="310">
        <v>2615788</v>
      </c>
      <c r="F16" s="310">
        <f>1196333+2846473</f>
        <v>4042806</v>
      </c>
      <c r="G16" s="310">
        <v>0</v>
      </c>
      <c r="H16" s="310">
        <v>0</v>
      </c>
      <c r="I16" s="310">
        <v>0</v>
      </c>
      <c r="J16" s="310">
        <v>0</v>
      </c>
      <c r="K16" s="310">
        <v>0</v>
      </c>
      <c r="L16" s="310">
        <v>0</v>
      </c>
      <c r="M16" s="310">
        <v>0</v>
      </c>
      <c r="N16" s="310">
        <v>0</v>
      </c>
      <c r="O16" s="310">
        <v>0</v>
      </c>
    </row>
    <row r="17" spans="1:16" s="2" customFormat="1" ht="18.75" thickBot="1" x14ac:dyDescent="0.3">
      <c r="A17" s="9"/>
      <c r="B17" s="224"/>
      <c r="C17" s="177" t="s">
        <v>63</v>
      </c>
      <c r="D17" s="310">
        <f>52674</f>
        <v>52674</v>
      </c>
      <c r="E17" s="310">
        <v>101568</v>
      </c>
      <c r="F17" s="310">
        <v>64512</v>
      </c>
      <c r="G17" s="310">
        <v>0</v>
      </c>
      <c r="H17" s="310">
        <v>0</v>
      </c>
      <c r="I17" s="310">
        <v>0</v>
      </c>
      <c r="J17" s="310">
        <v>0</v>
      </c>
      <c r="K17" s="310">
        <v>0</v>
      </c>
      <c r="L17" s="310">
        <v>0</v>
      </c>
      <c r="M17" s="310">
        <v>0</v>
      </c>
      <c r="N17" s="310">
        <v>0</v>
      </c>
      <c r="O17" s="310">
        <v>0</v>
      </c>
    </row>
    <row r="18" spans="1:16" s="2" customFormat="1" ht="24.75" customHeight="1" thickBot="1" x14ac:dyDescent="0.3">
      <c r="A18" s="9"/>
      <c r="B18" s="224"/>
      <c r="C18" s="314" t="s">
        <v>236</v>
      </c>
      <c r="D18" s="313">
        <f>SUM(D12:D17)</f>
        <v>5479447.9900000002</v>
      </c>
      <c r="E18" s="313">
        <f t="shared" ref="E18:F18" si="0">SUM(E12:E17)</f>
        <v>10334309.83</v>
      </c>
      <c r="F18" s="313">
        <f t="shared" si="0"/>
        <v>7848529</v>
      </c>
      <c r="G18" s="313">
        <v>0</v>
      </c>
      <c r="H18" s="313">
        <v>0</v>
      </c>
      <c r="I18" s="313">
        <v>0</v>
      </c>
      <c r="J18" s="313">
        <v>0</v>
      </c>
      <c r="K18" s="313">
        <v>0</v>
      </c>
      <c r="L18" s="313">
        <v>0</v>
      </c>
      <c r="M18" s="313">
        <v>0</v>
      </c>
      <c r="N18" s="313">
        <v>0</v>
      </c>
      <c r="O18" s="313">
        <v>0</v>
      </c>
    </row>
    <row r="19" spans="1:16" s="6" customFormat="1" ht="18.75" thickBot="1" x14ac:dyDescent="0.3">
      <c r="A19" s="9" t="s">
        <v>5</v>
      </c>
      <c r="B19" s="224"/>
      <c r="C19" s="177" t="s">
        <v>230</v>
      </c>
      <c r="D19" s="309">
        <v>6590419.0140000004</v>
      </c>
      <c r="E19" s="309">
        <v>11276074.82</v>
      </c>
      <c r="F19" s="309">
        <v>8697544</v>
      </c>
      <c r="G19" s="309">
        <v>7535882</v>
      </c>
      <c r="H19" s="309">
        <v>8142754</v>
      </c>
      <c r="I19" s="309">
        <v>7536237</v>
      </c>
      <c r="J19" s="309">
        <v>5184877</v>
      </c>
      <c r="K19" s="309">
        <v>4375975.37</v>
      </c>
      <c r="L19" s="309">
        <v>5835533</v>
      </c>
      <c r="M19" s="309">
        <f>'[15] Eversource Gas_Table B'!$N$11</f>
        <v>2797801.2933168081</v>
      </c>
      <c r="N19" s="309">
        <f>'[15] Eversource Gas_Table B'!$N$35</f>
        <v>3968810.318806516</v>
      </c>
      <c r="O19" s="309">
        <f>'[15] Eversource Gas_Table B'!$N$58</f>
        <v>4064925.4793245425</v>
      </c>
    </row>
    <row r="20" spans="1:16" s="2" customFormat="1" ht="18.75" thickBot="1" x14ac:dyDescent="0.3">
      <c r="A20" s="9" t="s">
        <v>0</v>
      </c>
      <c r="B20" s="224"/>
      <c r="C20" s="177" t="s">
        <v>127</v>
      </c>
      <c r="D20" s="309">
        <v>56244</v>
      </c>
      <c r="E20" s="309">
        <v>944742</v>
      </c>
      <c r="F20" s="309">
        <v>1329986</v>
      </c>
      <c r="G20" s="309">
        <v>0</v>
      </c>
      <c r="H20" s="309">
        <v>0</v>
      </c>
      <c r="I20" s="309">
        <v>0</v>
      </c>
      <c r="J20" s="309">
        <v>0</v>
      </c>
      <c r="K20" s="309">
        <v>0</v>
      </c>
      <c r="L20" s="309">
        <v>0</v>
      </c>
      <c r="M20" s="309">
        <v>0</v>
      </c>
      <c r="N20" s="309">
        <v>0</v>
      </c>
      <c r="O20" s="309">
        <v>0</v>
      </c>
    </row>
    <row r="21" spans="1:16" s="2" customFormat="1" ht="18.75" thickBot="1" x14ac:dyDescent="0.3">
      <c r="A21" s="9"/>
      <c r="B21" s="224"/>
      <c r="C21" s="177" t="s">
        <v>195</v>
      </c>
      <c r="D21" s="309">
        <v>0</v>
      </c>
      <c r="E21" s="309">
        <v>0</v>
      </c>
      <c r="F21" s="309">
        <v>0</v>
      </c>
      <c r="G21" s="309">
        <v>0</v>
      </c>
      <c r="H21" s="309">
        <v>861902.68395397335</v>
      </c>
      <c r="I21" s="309">
        <v>122689</v>
      </c>
      <c r="J21" s="309">
        <v>242243</v>
      </c>
      <c r="K21" s="309">
        <f>[16]EG_Table_B!$N$36</f>
        <v>0</v>
      </c>
      <c r="L21" s="309">
        <v>0</v>
      </c>
      <c r="M21" s="309">
        <f>'[15] Eversource Gas_Table B'!$N$12</f>
        <v>9218</v>
      </c>
      <c r="N21" s="309">
        <f>'[15] Eversource Gas_Table B'!$N$36</f>
        <v>18436</v>
      </c>
      <c r="O21" s="309">
        <f>'[15] Eversource Gas_Table B'!$N$59</f>
        <v>18436</v>
      </c>
    </row>
    <row r="22" spans="1:16" ht="18.75" thickBot="1" x14ac:dyDescent="0.3">
      <c r="A22" s="6"/>
      <c r="B22" s="223"/>
      <c r="C22" s="176" t="s">
        <v>213</v>
      </c>
      <c r="D22" s="313">
        <f t="shared" ref="D22:F22" si="1">D11+D18+SUM(D19:D21)</f>
        <v>13297892.004000001</v>
      </c>
      <c r="E22" s="313">
        <f t="shared" si="1"/>
        <v>24600260.300000001</v>
      </c>
      <c r="F22" s="313">
        <f t="shared" si="1"/>
        <v>21147262</v>
      </c>
      <c r="G22" s="313">
        <f>G11+G12+G13+G19+G21</f>
        <v>19437079</v>
      </c>
      <c r="H22" s="313">
        <f t="shared" ref="H22:O22" si="2">H11+H12+H13+H19+H21</f>
        <v>23337621.683953974</v>
      </c>
      <c r="I22" s="313">
        <f t="shared" si="2"/>
        <v>22729572</v>
      </c>
      <c r="J22" s="313">
        <f t="shared" si="2"/>
        <v>21807727</v>
      </c>
      <c r="K22" s="313">
        <f t="shared" si="2"/>
        <v>20321309.66</v>
      </c>
      <c r="L22" s="313">
        <f t="shared" si="2"/>
        <v>26298935.82</v>
      </c>
      <c r="M22" s="313">
        <f>M11+M12+M13+M19+M21</f>
        <v>15291349.127636274</v>
      </c>
      <c r="N22" s="313">
        <f t="shared" si="2"/>
        <v>18794683.233761415</v>
      </c>
      <c r="O22" s="313">
        <f t="shared" si="2"/>
        <v>18050780.106905293</v>
      </c>
    </row>
    <row r="23" spans="1:16" s="2" customFormat="1" ht="18.75" thickBot="1" x14ac:dyDescent="0.3">
      <c r="A23" s="8"/>
      <c r="B23" s="223"/>
      <c r="C23" s="542" t="s">
        <v>1</v>
      </c>
      <c r="D23" s="542"/>
      <c r="E23" s="542"/>
      <c r="F23" s="542"/>
      <c r="G23" s="542"/>
      <c r="H23" s="542"/>
      <c r="I23" s="542"/>
      <c r="J23" s="542"/>
      <c r="K23" s="542"/>
      <c r="L23" s="542"/>
      <c r="M23" s="542"/>
      <c r="N23" s="542"/>
      <c r="O23" s="542"/>
    </row>
    <row r="24" spans="1:16" ht="18.75" thickBot="1" x14ac:dyDescent="0.3">
      <c r="A24" s="10" t="s">
        <v>2</v>
      </c>
      <c r="B24" s="223"/>
      <c r="C24" s="177" t="s">
        <v>94</v>
      </c>
      <c r="D24" s="309">
        <v>4012514</v>
      </c>
      <c r="E24" s="309">
        <v>7665291</v>
      </c>
      <c r="F24" s="309">
        <v>14168474</v>
      </c>
      <c r="G24" s="309">
        <v>6862601</v>
      </c>
      <c r="H24" s="309">
        <v>4932458</v>
      </c>
      <c r="I24" s="309">
        <v>5016971</v>
      </c>
      <c r="J24" s="309">
        <v>7603047</v>
      </c>
      <c r="K24" s="309">
        <v>8692263</v>
      </c>
      <c r="L24" s="309">
        <v>6153176</v>
      </c>
      <c r="M24" s="309">
        <f>'[15] Eversource Gas_Table B'!$N15</f>
        <v>5791866.2164351977</v>
      </c>
      <c r="N24" s="309">
        <f>'[15] Eversource Gas_Table B'!$N39</f>
        <v>6253392.2151628137</v>
      </c>
      <c r="O24" s="309">
        <f>'[15] Eversource Gas_Table B'!$N62</f>
        <v>6281432.9158742223</v>
      </c>
    </row>
    <row r="25" spans="1:16" ht="21" customHeight="1" thickBot="1" x14ac:dyDescent="0.3">
      <c r="A25" s="10" t="s">
        <v>2</v>
      </c>
      <c r="B25" s="223"/>
      <c r="C25" s="177" t="s">
        <v>48</v>
      </c>
      <c r="D25" s="309">
        <v>5870925</v>
      </c>
      <c r="E25" s="309">
        <v>7136800</v>
      </c>
      <c r="F25" s="309">
        <v>5687189</v>
      </c>
      <c r="G25" s="309">
        <v>8948254</v>
      </c>
      <c r="H25" s="309">
        <v>9274301</v>
      </c>
      <c r="I25" s="309">
        <v>8677066</v>
      </c>
      <c r="J25" s="309">
        <v>7417585</v>
      </c>
      <c r="K25" s="309">
        <v>4192804.74</v>
      </c>
      <c r="L25" s="309">
        <v>3518080</v>
      </c>
      <c r="M25" s="309">
        <f>'[15] Eversource Gas_Table B'!$N16</f>
        <v>1872117.7518702147</v>
      </c>
      <c r="N25" s="309">
        <f>'[15] Eversource Gas_Table B'!$N40</f>
        <v>6145731.8328559855</v>
      </c>
      <c r="O25" s="309">
        <f>'[15] Eversource Gas_Table B'!$N63</f>
        <v>6033007.0439675199</v>
      </c>
    </row>
    <row r="26" spans="1:16" ht="36.75" thickBot="1" x14ac:dyDescent="0.3">
      <c r="A26" s="10" t="s">
        <v>2</v>
      </c>
      <c r="B26" s="223"/>
      <c r="C26" s="295" t="s">
        <v>322</v>
      </c>
      <c r="D26" s="309">
        <v>398693</v>
      </c>
      <c r="E26" s="309">
        <v>958524</v>
      </c>
      <c r="F26" s="309">
        <v>1120186</v>
      </c>
      <c r="G26" s="309">
        <v>3456389</v>
      </c>
      <c r="H26" s="309">
        <v>3428408</v>
      </c>
      <c r="I26" s="309">
        <v>2301322</v>
      </c>
      <c r="J26" s="309">
        <v>3500467</v>
      </c>
      <c r="K26" s="309">
        <v>2471981</v>
      </c>
      <c r="L26" s="309">
        <v>1774536</v>
      </c>
      <c r="M26" s="309">
        <f>'[15] Eversource Gas_Table B'!$N17</f>
        <v>994218.80876266269</v>
      </c>
      <c r="N26" s="309">
        <f>'[15] Eversource Gas_Table B'!$N41</f>
        <v>1887437.6090031206</v>
      </c>
      <c r="O26" s="309">
        <f>'[15] Eversource Gas_Table B'!$N64</f>
        <v>1877079.8270252293</v>
      </c>
    </row>
    <row r="27" spans="1:16" ht="18.75" thickBot="1" x14ac:dyDescent="0.3">
      <c r="A27" s="10" t="s">
        <v>2</v>
      </c>
      <c r="B27" s="223"/>
      <c r="C27" s="177" t="s">
        <v>128</v>
      </c>
      <c r="D27" s="309">
        <v>835601.7</v>
      </c>
      <c r="E27" s="309">
        <v>693581</v>
      </c>
      <c r="F27" s="309">
        <v>738098</v>
      </c>
      <c r="G27" s="309">
        <v>771880</v>
      </c>
      <c r="H27" s="309">
        <v>1335130</v>
      </c>
      <c r="I27" s="309">
        <v>1273289</v>
      </c>
      <c r="J27" s="309">
        <v>733850</v>
      </c>
      <c r="K27" s="309">
        <v>46418</v>
      </c>
      <c r="L27" s="309">
        <v>218513</v>
      </c>
      <c r="M27" s="309">
        <f>'[15] Eversource Gas_Table B'!$N18</f>
        <v>682359.87063807726</v>
      </c>
      <c r="N27" s="309">
        <f>'[15] Eversource Gas_Table B'!$N42</f>
        <v>1464279.386213399</v>
      </c>
      <c r="O27" s="309">
        <f>'[15] Eversource Gas_Table B'!$N65</f>
        <v>1496122.3086504845</v>
      </c>
    </row>
    <row r="28" spans="1:16" s="13" customFormat="1" ht="18.75" thickBot="1" x14ac:dyDescent="0.3">
      <c r="A28" s="12"/>
      <c r="B28" s="225"/>
      <c r="C28" s="184" t="s">
        <v>214</v>
      </c>
      <c r="D28" s="308">
        <f t="shared" ref="D28:O28" si="3">SUM(D24:D27)</f>
        <v>11117733.699999999</v>
      </c>
      <c r="E28" s="308">
        <f t="shared" si="3"/>
        <v>16454196</v>
      </c>
      <c r="F28" s="308">
        <f t="shared" si="3"/>
        <v>21713947</v>
      </c>
      <c r="G28" s="308">
        <f t="shared" si="3"/>
        <v>20039124</v>
      </c>
      <c r="H28" s="308">
        <f t="shared" si="3"/>
        <v>18970297</v>
      </c>
      <c r="I28" s="308">
        <f t="shared" si="3"/>
        <v>17268648</v>
      </c>
      <c r="J28" s="308">
        <f t="shared" si="3"/>
        <v>19254949</v>
      </c>
      <c r="K28" s="308">
        <f t="shared" si="3"/>
        <v>15403466.74</v>
      </c>
      <c r="L28" s="308">
        <f t="shared" si="3"/>
        <v>11664305</v>
      </c>
      <c r="M28" s="308">
        <f t="shared" si="3"/>
        <v>9340562.6477061529</v>
      </c>
      <c r="N28" s="308">
        <f t="shared" si="3"/>
        <v>15750841.043235319</v>
      </c>
      <c r="O28" s="308">
        <f t="shared" si="3"/>
        <v>15687642.095517457</v>
      </c>
    </row>
    <row r="29" spans="1:16" s="11" customFormat="1" ht="18.75" hidden="1" thickBot="1" x14ac:dyDescent="0.3">
      <c r="A29" s="8"/>
      <c r="B29" s="223"/>
      <c r="C29" s="184" t="s">
        <v>17</v>
      </c>
      <c r="D29" s="311"/>
      <c r="E29" s="311"/>
      <c r="F29" s="311"/>
      <c r="G29" s="311"/>
      <c r="H29" s="311"/>
      <c r="I29" s="311"/>
      <c r="J29" s="311"/>
      <c r="K29" s="311"/>
      <c r="L29" s="311"/>
      <c r="M29" s="311"/>
      <c r="N29" s="311"/>
      <c r="O29" s="311"/>
      <c r="P29" s="37"/>
    </row>
    <row r="30" spans="1:16" s="16" customFormat="1" ht="18.75" hidden="1" thickBot="1" x14ac:dyDescent="0.3">
      <c r="A30" s="15"/>
      <c r="B30" s="228"/>
      <c r="C30" s="190" t="s">
        <v>6</v>
      </c>
      <c r="D30" s="312">
        <f t="shared" ref="D30:O30" si="4">D22</f>
        <v>13297892.004000001</v>
      </c>
      <c r="E30" s="312">
        <f t="shared" si="4"/>
        <v>24600260.300000001</v>
      </c>
      <c r="F30" s="312">
        <f t="shared" si="4"/>
        <v>21147262</v>
      </c>
      <c r="G30" s="312">
        <f t="shared" si="4"/>
        <v>19437079</v>
      </c>
      <c r="H30" s="312">
        <f t="shared" si="4"/>
        <v>23337621.683953974</v>
      </c>
      <c r="I30" s="312">
        <f t="shared" si="4"/>
        <v>22729572</v>
      </c>
      <c r="J30" s="312">
        <f t="shared" si="4"/>
        <v>21807727</v>
      </c>
      <c r="K30" s="312">
        <f t="shared" si="4"/>
        <v>20321309.66</v>
      </c>
      <c r="L30" s="312">
        <f t="shared" si="4"/>
        <v>26298935.82</v>
      </c>
      <c r="M30" s="312">
        <f t="shared" si="4"/>
        <v>15291349.127636274</v>
      </c>
      <c r="N30" s="312">
        <f t="shared" si="4"/>
        <v>18794683.233761415</v>
      </c>
      <c r="O30" s="312">
        <f t="shared" si="4"/>
        <v>18050780.106905293</v>
      </c>
      <c r="P30" s="73"/>
    </row>
    <row r="31" spans="1:16" s="16" customFormat="1" ht="18.75" hidden="1" thickBot="1" x14ac:dyDescent="0.3">
      <c r="A31" s="15"/>
      <c r="B31" s="228"/>
      <c r="C31" s="190" t="s">
        <v>7</v>
      </c>
      <c r="D31" s="312">
        <f t="shared" ref="D31:I31" si="5">D28</f>
        <v>11117733.699999999</v>
      </c>
      <c r="E31" s="312">
        <f t="shared" si="5"/>
        <v>16454196</v>
      </c>
      <c r="F31" s="312">
        <f t="shared" si="5"/>
        <v>21713947</v>
      </c>
      <c r="G31" s="312">
        <f t="shared" si="5"/>
        <v>20039124</v>
      </c>
      <c r="H31" s="312">
        <f t="shared" si="5"/>
        <v>18970297</v>
      </c>
      <c r="I31" s="312">
        <f t="shared" si="5"/>
        <v>17268648</v>
      </c>
      <c r="J31" s="312">
        <f t="shared" ref="J31:O31" si="6">J28</f>
        <v>19254949</v>
      </c>
      <c r="K31" s="312">
        <f t="shared" si="6"/>
        <v>15403466.74</v>
      </c>
      <c r="L31" s="312">
        <f t="shared" si="6"/>
        <v>11664305</v>
      </c>
      <c r="M31" s="312">
        <f t="shared" si="6"/>
        <v>9340562.6477061529</v>
      </c>
      <c r="N31" s="312">
        <f t="shared" si="6"/>
        <v>15750841.043235319</v>
      </c>
      <c r="O31" s="312">
        <f t="shared" si="6"/>
        <v>15687642.095517457</v>
      </c>
    </row>
    <row r="32" spans="1:16" s="13" customFormat="1" ht="22.5" customHeight="1" thickBot="1" x14ac:dyDescent="0.3">
      <c r="A32" s="8"/>
      <c r="B32" s="223"/>
      <c r="C32" s="184" t="s">
        <v>19</v>
      </c>
      <c r="D32" s="308">
        <f t="shared" ref="D32:O32" si="7">SUM(D30:D31)</f>
        <v>24415625.704</v>
      </c>
      <c r="E32" s="308">
        <f t="shared" si="7"/>
        <v>41054456.299999997</v>
      </c>
      <c r="F32" s="308">
        <f t="shared" si="7"/>
        <v>42861209</v>
      </c>
      <c r="G32" s="308">
        <f t="shared" si="7"/>
        <v>39476203</v>
      </c>
      <c r="H32" s="308">
        <f t="shared" si="7"/>
        <v>42307918.683953971</v>
      </c>
      <c r="I32" s="308">
        <f t="shared" si="7"/>
        <v>39998220</v>
      </c>
      <c r="J32" s="308">
        <f t="shared" si="7"/>
        <v>41062676</v>
      </c>
      <c r="K32" s="308">
        <f t="shared" si="7"/>
        <v>35724776.399999999</v>
      </c>
      <c r="L32" s="308">
        <f t="shared" si="7"/>
        <v>37963240.82</v>
      </c>
      <c r="M32" s="308">
        <f t="shared" si="7"/>
        <v>24631911.775342427</v>
      </c>
      <c r="N32" s="308">
        <f t="shared" si="7"/>
        <v>34545524.276996732</v>
      </c>
      <c r="O32" s="308">
        <f t="shared" si="7"/>
        <v>33738422.202422753</v>
      </c>
    </row>
    <row r="33" spans="4:15" x14ac:dyDescent="0.2">
      <c r="D33" s="52"/>
      <c r="E33" s="52"/>
      <c r="F33" s="52"/>
      <c r="G33" s="52"/>
      <c r="H33" s="52"/>
      <c r="I33" s="52"/>
      <c r="J33" s="52"/>
      <c r="K33" s="52"/>
      <c r="L33" s="52"/>
      <c r="M33" s="52"/>
      <c r="N33" s="52"/>
      <c r="O33" s="52"/>
    </row>
    <row r="34" spans="4:15" x14ac:dyDescent="0.2">
      <c r="K34" s="1" t="s">
        <v>5</v>
      </c>
    </row>
  </sheetData>
  <mergeCells count="7">
    <mergeCell ref="M1:O1"/>
    <mergeCell ref="C23:O23"/>
    <mergeCell ref="C2:O2"/>
    <mergeCell ref="C3:O3"/>
    <mergeCell ref="C4:O4"/>
    <mergeCell ref="C5:O5"/>
    <mergeCell ref="C10:O10"/>
  </mergeCells>
  <printOptions horizontalCentered="1" verticalCentered="1"/>
  <pageMargins left="0.5" right="0.5" top="0.22" bottom="1.18" header="0.22" footer="0.23"/>
  <pageSetup scale="51" orientation="landscape"/>
  <headerFooter alignWithMargins="0">
    <oddFooter xml:space="preserve">&amp;C
Totals may vary due to rounding&amp;R&amp;14
</oddFooter>
  </headerFooter>
  <ignoredErrors>
    <ignoredError sqref="F18" formulaRange="1"/>
  </ignoredError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1">
    <tabColor rgb="FFFFC000"/>
  </sheetPr>
  <dimension ref="B2:P32"/>
  <sheetViews>
    <sheetView showGridLines="0" topLeftCell="A4" zoomScale="75" zoomScaleNormal="75" workbookViewId="0">
      <selection activeCell="C6" sqref="C1:C1048576"/>
    </sheetView>
  </sheetViews>
  <sheetFormatPr defaultRowHeight="12.75" x14ac:dyDescent="0.2"/>
  <cols>
    <col min="2" max="2" width="55.5703125" customWidth="1"/>
    <col min="3" max="3" width="15.140625" hidden="1" customWidth="1"/>
    <col min="4" max="4" width="16.5703125" customWidth="1"/>
    <col min="5" max="5" width="16.28515625" customWidth="1"/>
    <col min="6" max="6" width="15.5703125" customWidth="1"/>
    <col min="7" max="7" width="16.28515625" customWidth="1"/>
    <col min="8" max="14" width="14.7109375" customWidth="1"/>
  </cols>
  <sheetData>
    <row r="2" spans="2:14" ht="23.25" x14ac:dyDescent="0.35">
      <c r="B2" s="545" t="s">
        <v>115</v>
      </c>
      <c r="C2" s="545"/>
      <c r="D2" s="545"/>
      <c r="E2" s="545"/>
      <c r="F2" s="545"/>
      <c r="G2" s="545"/>
      <c r="H2" s="545"/>
      <c r="I2" s="545"/>
      <c r="J2" s="545"/>
      <c r="K2" s="545"/>
      <c r="L2" s="545"/>
      <c r="M2" s="545"/>
      <c r="N2" s="545"/>
    </row>
    <row r="3" spans="2:14" ht="23.25" x14ac:dyDescent="0.35">
      <c r="B3" s="545" t="s">
        <v>118</v>
      </c>
      <c r="C3" s="545"/>
      <c r="D3" s="545"/>
      <c r="E3" s="545"/>
      <c r="F3" s="545"/>
      <c r="G3" s="545"/>
      <c r="H3" s="545"/>
      <c r="I3" s="545"/>
      <c r="J3" s="545"/>
      <c r="K3" s="545"/>
      <c r="L3" s="545"/>
      <c r="M3" s="545"/>
      <c r="N3" s="545"/>
    </row>
    <row r="4" spans="2:14" ht="23.25" x14ac:dyDescent="0.35">
      <c r="B4" s="545" t="s">
        <v>61</v>
      </c>
      <c r="C4" s="545"/>
      <c r="D4" s="545"/>
      <c r="E4" s="545"/>
      <c r="F4" s="545"/>
      <c r="G4" s="545"/>
      <c r="H4" s="545"/>
      <c r="I4" s="545"/>
      <c r="J4" s="545"/>
      <c r="K4" s="545"/>
      <c r="L4" s="545"/>
      <c r="M4" s="545"/>
      <c r="N4" s="545"/>
    </row>
    <row r="5" spans="2:14" ht="21" thickBot="1" x14ac:dyDescent="0.35">
      <c r="B5" s="613"/>
      <c r="C5" s="613"/>
      <c r="D5" s="613"/>
      <c r="E5" s="613"/>
      <c r="F5" s="613"/>
      <c r="G5" s="613"/>
      <c r="H5" s="613"/>
      <c r="I5" s="613"/>
      <c r="J5" s="613"/>
      <c r="K5" s="613"/>
      <c r="L5" s="613"/>
      <c r="M5" s="613"/>
      <c r="N5" s="613"/>
    </row>
    <row r="6" spans="2:14" ht="18" x14ac:dyDescent="0.25">
      <c r="B6" s="200"/>
      <c r="C6" s="166">
        <v>2013</v>
      </c>
      <c r="D6" s="166">
        <v>2014</v>
      </c>
      <c r="E6" s="166">
        <v>2015</v>
      </c>
      <c r="F6" s="166">
        <v>2016</v>
      </c>
      <c r="G6" s="166">
        <v>2017</v>
      </c>
      <c r="H6" s="166">
        <v>2018</v>
      </c>
      <c r="I6" s="166">
        <v>2019</v>
      </c>
      <c r="J6" s="166">
        <v>2020</v>
      </c>
      <c r="K6" s="166">
        <v>2021</v>
      </c>
      <c r="L6" s="166">
        <v>2022</v>
      </c>
      <c r="M6" s="166">
        <v>2023</v>
      </c>
      <c r="N6" s="166">
        <v>2024</v>
      </c>
    </row>
    <row r="7" spans="2:14" ht="23.25" customHeight="1" x14ac:dyDescent="0.25">
      <c r="B7" s="201"/>
      <c r="C7" s="170" t="s">
        <v>117</v>
      </c>
      <c r="D7" s="170" t="s">
        <v>117</v>
      </c>
      <c r="E7" s="170" t="s">
        <v>62</v>
      </c>
      <c r="F7" s="170" t="s">
        <v>62</v>
      </c>
      <c r="G7" s="170" t="s">
        <v>62</v>
      </c>
      <c r="H7" s="170" t="s">
        <v>62</v>
      </c>
      <c r="I7" s="170" t="s">
        <v>62</v>
      </c>
      <c r="J7" s="170" t="s">
        <v>62</v>
      </c>
      <c r="K7" s="170" t="s">
        <v>62</v>
      </c>
      <c r="L7" s="170" t="s">
        <v>209</v>
      </c>
      <c r="M7" s="170" t="s">
        <v>209</v>
      </c>
      <c r="N7" s="170" t="s">
        <v>209</v>
      </c>
    </row>
    <row r="8" spans="2:14" ht="20.25" customHeight="1" x14ac:dyDescent="0.25">
      <c r="B8" s="169" t="s">
        <v>140</v>
      </c>
      <c r="C8" s="170"/>
      <c r="D8" s="170"/>
      <c r="E8" s="170"/>
      <c r="F8" s="170"/>
      <c r="G8" s="170"/>
      <c r="H8" s="170"/>
      <c r="I8" s="170"/>
      <c r="J8" s="170"/>
      <c r="K8" s="170"/>
      <c r="L8" s="170"/>
      <c r="M8" s="170"/>
      <c r="N8" s="170"/>
    </row>
    <row r="9" spans="2:14" ht="18.75" thickBot="1" x14ac:dyDescent="0.3">
      <c r="B9" s="203"/>
      <c r="C9" s="291"/>
      <c r="D9" s="291"/>
      <c r="E9" s="291"/>
      <c r="F9" s="291"/>
      <c r="G9" s="291"/>
      <c r="H9" s="291"/>
      <c r="I9" s="291"/>
      <c r="J9" s="291"/>
      <c r="K9" s="291"/>
      <c r="L9" s="291"/>
      <c r="M9" s="291"/>
      <c r="N9" s="291"/>
    </row>
    <row r="10" spans="2:14" ht="21.75" customHeight="1" thickBot="1" x14ac:dyDescent="0.3">
      <c r="B10" s="541" t="s">
        <v>8</v>
      </c>
      <c r="C10" s="541"/>
      <c r="D10" s="541"/>
      <c r="E10" s="541"/>
      <c r="F10" s="541"/>
      <c r="G10" s="541"/>
      <c r="H10" s="541"/>
      <c r="I10" s="541"/>
      <c r="J10" s="541"/>
      <c r="K10" s="541"/>
      <c r="L10" s="541"/>
      <c r="M10" s="541"/>
      <c r="N10" s="541"/>
    </row>
    <row r="11" spans="2:14" ht="26.25" customHeight="1" thickBot="1" x14ac:dyDescent="0.3">
      <c r="B11" s="177" t="s">
        <v>126</v>
      </c>
      <c r="C11" s="319">
        <f>'2014-25 ES CT G Table D-Proj $'!D11/'2014-24 ES CT G Table D1 AnnCCF'!D11</f>
        <v>3.5892809088718796</v>
      </c>
      <c r="D11" s="319">
        <f>'2014-25 ES CT G Table D-Proj $'!E11/'2014-24 ES CT G Table D1 AnnCCF'!E11</f>
        <v>7.531898160118768</v>
      </c>
      <c r="E11" s="319">
        <f>'2014-25 ES CT G Table D-Proj $'!F11/'2014-24 ES CT G Table D1 AnnCCF'!F11</f>
        <v>5.6140014240727014</v>
      </c>
      <c r="F11" s="319">
        <f>'2014-25 ES CT G Table D-Proj $'!G11/'2014-24 ES CT G Table D1 AnnCCF'!G11</f>
        <v>6.4414533412710222</v>
      </c>
      <c r="G11" s="319">
        <f>'2014-25 ES CT G Table D-Proj $'!H11/'2014-24 ES CT G Table D1 AnnCCF'!H11</f>
        <v>7.0804621069119236</v>
      </c>
      <c r="H11" s="319">
        <f>'2014-25 ES CT G Table D-Proj $'!I11/'2014-24 ES CT G Table D1 AnnCCF'!I11</f>
        <v>6.4960785839055752</v>
      </c>
      <c r="I11" s="319">
        <f>'2014-25 ES CT G Table D-Proj $'!J11/'2014-24 ES CT G Table D1 AnnCCF'!J11</f>
        <v>4.9562257787109525</v>
      </c>
      <c r="J11" s="319">
        <f>'2014-25 ES CT G Table D-Proj $'!K11/'2014-24 ES CT G Table D1 AnnCCF'!K11</f>
        <v>4.7176374235197764</v>
      </c>
      <c r="K11" s="319">
        <f>'2014-25 ES CT G Table D-Proj $'!L11/'2014-24 ES CT G Table D1 AnnCCF'!L11</f>
        <v>5.9595093322513328</v>
      </c>
      <c r="L11" s="319">
        <f>'2014-25 ES CT G Table D-Proj $'!M11/'2014-24 ES CT G Table D1 AnnCCF'!M11</f>
        <v>5.808855502666618</v>
      </c>
      <c r="M11" s="319">
        <f>'2014-25 ES CT G Table D-Proj $'!N11/'2014-24 ES CT G Table D1 AnnCCF'!N11</f>
        <v>5.2332610623477338</v>
      </c>
      <c r="N11" s="319">
        <f>'2014-25 ES CT G Table D-Proj $'!O11/'2014-24 ES CT G Table D1 AnnCCF'!O11</f>
        <v>53.956076687260207</v>
      </c>
    </row>
    <row r="12" spans="2:14" ht="54.75" thickBot="1" x14ac:dyDescent="0.3">
      <c r="B12" s="479" t="s">
        <v>314</v>
      </c>
      <c r="C12" s="319">
        <f>'2014-25 ES CT G Table D-Proj $'!D12/'2014-24 ES CT G Table D1 AnnCCF'!D18</f>
        <v>5.6258629848762469</v>
      </c>
      <c r="D12" s="319">
        <f>'2014-25 ES CT G Table D-Proj $'!E12/'2014-24 ES CT G Table D1 AnnCCF'!E18</f>
        <v>8.3784915151620254</v>
      </c>
      <c r="E12" s="319">
        <f>'2014-25 ES CT G Table D-Proj $'!F12/'2014-24 ES CT G Table D1 AnnCCF'!F18</f>
        <v>8.7211595333309617</v>
      </c>
      <c r="F12" s="319">
        <f>'2014-25 ES CT G Table D-Proj $'!G12/'2014-24 ES CT G Table D1 AnnCCF'!G12</f>
        <v>12.713613870980245</v>
      </c>
      <c r="G12" s="319">
        <f>'2014-25 ES CT G Table D-Proj $'!H12/'2014-24 ES CT G Table D1 AnnCCF'!H12</f>
        <v>10.368736907983145</v>
      </c>
      <c r="H12" s="319">
        <f>'2014-25 ES CT G Table D-Proj $'!I12/'2014-24 ES CT G Table D1 AnnCCF'!I12</f>
        <v>9.8198561534363353</v>
      </c>
      <c r="I12" s="319">
        <f>'2014-25 ES CT G Table D-Proj $'!J12/'2014-24 ES CT G Table D1 AnnCCF'!J12</f>
        <v>9.3541853007264564</v>
      </c>
      <c r="J12" s="319">
        <f>'2014-25 ES CT G Table D-Proj $'!K12/'2014-24 ES CT G Table D1 AnnCCF'!K12</f>
        <v>12.075466973809405</v>
      </c>
      <c r="K12" s="319">
        <f>'2014-25 ES CT G Table D-Proj $'!L12/'2014-24 ES CT G Table D1 AnnCCF'!L12</f>
        <v>13.416503392636736</v>
      </c>
      <c r="L12" s="319">
        <f>'2014-25 ES CT G Table D-Proj $'!M12/'2014-24 ES CT G Table D1 AnnCCF'!M12</f>
        <v>17.552765360325793</v>
      </c>
      <c r="M12" s="319">
        <f>'2014-25 ES CT G Table D-Proj $'!N12/'2014-24 ES CT G Table D1 AnnCCF'!N12</f>
        <v>19.572184843897094</v>
      </c>
      <c r="N12" s="319">
        <f>'2014-25 ES CT G Table D-Proj $'!O12/'2014-24 ES CT G Table D1 AnnCCF'!O12</f>
        <v>19.361547515338813</v>
      </c>
    </row>
    <row r="13" spans="2:14" ht="18.75" thickBot="1" x14ac:dyDescent="0.3">
      <c r="B13" s="479" t="s">
        <v>348</v>
      </c>
      <c r="C13" s="319">
        <v>0</v>
      </c>
      <c r="D13" s="319">
        <v>0</v>
      </c>
      <c r="E13" s="318">
        <v>0</v>
      </c>
      <c r="F13" s="319">
        <f>'2014-25 ES CT G Table D-Proj $'!G13/'2014-24 ES CT G Table D1 AnnCCF'!G13</f>
        <v>6.8681938870021613</v>
      </c>
      <c r="G13" s="319">
        <f>'2014-25 ES CT G Table D-Proj $'!H13/'2014-24 ES CT G Table D1 AnnCCF'!H13</f>
        <v>5.5405851405442537</v>
      </c>
      <c r="H13" s="319">
        <f>'2014-25 ES CT G Table D-Proj $'!I13/'2014-24 ES CT G Table D1 AnnCCF'!I13</f>
        <v>7.1117486345409713</v>
      </c>
      <c r="I13" s="319">
        <f>'2014-25 ES CT G Table D-Proj $'!J13/'2014-24 ES CT G Table D1 AnnCCF'!J13</f>
        <v>9.9705308901281953</v>
      </c>
      <c r="J13" s="319">
        <f>'2014-25 ES CT G Table D-Proj $'!K13/'2014-24 ES CT G Table D1 AnnCCF'!K13</f>
        <v>8.9795964446922678</v>
      </c>
      <c r="K13" s="319">
        <f>'2014-25 ES CT G Table D-Proj $'!L13/'2014-24 ES CT G Table D1 AnnCCF'!L13</f>
        <v>8.5927993254119794</v>
      </c>
      <c r="L13" s="319">
        <f>'2014-25 ES CT G Table D-Proj $'!M13/'2014-24 ES CT G Table D1 AnnCCF'!M13</f>
        <v>8.6635904794272438</v>
      </c>
      <c r="M13" s="319">
        <f>'2014-25 ES CT G Table D-Proj $'!N13/'2014-24 ES CT G Table D1 AnnCCF'!N13</f>
        <v>5.1678719285163019</v>
      </c>
      <c r="N13" s="319">
        <f>'2014-25 ES CT G Table D-Proj $'!O13/'2014-24 ES CT G Table D1 AnnCCF'!O13</f>
        <v>5.162999918039338</v>
      </c>
    </row>
    <row r="14" spans="2:14" ht="21.75" customHeight="1" thickBot="1" x14ac:dyDescent="0.3">
      <c r="B14" s="177" t="s">
        <v>135</v>
      </c>
      <c r="C14" s="318">
        <v>0</v>
      </c>
      <c r="D14" s="318">
        <v>0</v>
      </c>
      <c r="E14" s="318">
        <v>0</v>
      </c>
      <c r="F14" s="318">
        <v>0</v>
      </c>
      <c r="G14" s="318">
        <v>0</v>
      </c>
      <c r="H14" s="318">
        <v>0</v>
      </c>
      <c r="I14" s="318">
        <v>0</v>
      </c>
      <c r="J14" s="318">
        <v>0</v>
      </c>
      <c r="K14" s="318">
        <v>0</v>
      </c>
      <c r="L14" s="318">
        <v>0</v>
      </c>
      <c r="M14" s="318">
        <v>0</v>
      </c>
      <c r="N14" s="318">
        <v>0</v>
      </c>
    </row>
    <row r="15" spans="2:14" ht="18.75" thickBot="1" x14ac:dyDescent="0.3">
      <c r="B15" s="177" t="s">
        <v>134</v>
      </c>
      <c r="C15" s="318">
        <v>0</v>
      </c>
      <c r="D15" s="318">
        <v>0</v>
      </c>
      <c r="E15" s="318">
        <v>0</v>
      </c>
      <c r="F15" s="318">
        <v>0</v>
      </c>
      <c r="G15" s="318">
        <v>0</v>
      </c>
      <c r="H15" s="318">
        <v>0</v>
      </c>
      <c r="I15" s="318">
        <v>0</v>
      </c>
      <c r="J15" s="318">
        <v>0</v>
      </c>
      <c r="K15" s="318">
        <v>0</v>
      </c>
      <c r="L15" s="318">
        <v>0</v>
      </c>
      <c r="M15" s="318">
        <v>0</v>
      </c>
      <c r="N15" s="318">
        <v>0</v>
      </c>
    </row>
    <row r="16" spans="2:14" ht="36.75" thickBot="1" x14ac:dyDescent="0.3">
      <c r="B16" s="295" t="s">
        <v>235</v>
      </c>
      <c r="C16" s="318">
        <v>0</v>
      </c>
      <c r="D16" s="318">
        <v>0</v>
      </c>
      <c r="E16" s="318">
        <v>0</v>
      </c>
      <c r="F16" s="318">
        <v>0</v>
      </c>
      <c r="G16" s="318">
        <v>0</v>
      </c>
      <c r="H16" s="318">
        <v>0</v>
      </c>
      <c r="I16" s="318">
        <v>0</v>
      </c>
      <c r="J16" s="318">
        <v>0</v>
      </c>
      <c r="K16" s="318">
        <v>0</v>
      </c>
      <c r="L16" s="318">
        <v>0</v>
      </c>
      <c r="M16" s="318">
        <v>0</v>
      </c>
      <c r="N16" s="318">
        <v>0</v>
      </c>
    </row>
    <row r="17" spans="2:16" ht="18.75" thickBot="1" x14ac:dyDescent="0.3">
      <c r="B17" s="177" t="s">
        <v>133</v>
      </c>
      <c r="C17" s="318">
        <v>0</v>
      </c>
      <c r="D17" s="318">
        <v>0</v>
      </c>
      <c r="E17" s="318">
        <v>0</v>
      </c>
      <c r="F17" s="318">
        <v>0</v>
      </c>
      <c r="G17" s="318">
        <v>0</v>
      </c>
      <c r="H17" s="318">
        <v>0</v>
      </c>
      <c r="I17" s="318">
        <v>0</v>
      </c>
      <c r="J17" s="318">
        <v>0</v>
      </c>
      <c r="K17" s="318">
        <v>0</v>
      </c>
      <c r="L17" s="318">
        <v>0</v>
      </c>
      <c r="M17" s="318">
        <v>0</v>
      </c>
      <c r="N17" s="318">
        <v>0</v>
      </c>
    </row>
    <row r="18" spans="2:16" ht="18.75" thickBot="1" x14ac:dyDescent="0.3">
      <c r="B18" s="314" t="s">
        <v>233</v>
      </c>
      <c r="C18" s="317">
        <f>'2014-25 ES CT G Table D-Proj $'!D12/'2014-24 ES CT G Table D1 AnnCCF'!D18</f>
        <v>5.6258629848762469</v>
      </c>
      <c r="D18" s="316">
        <f>'2014-25 ES CT G Table D-Proj $'!E12/'2014-24 ES CT G Table D1 AnnCCF'!E18</f>
        <v>8.3784915151620254</v>
      </c>
      <c r="E18" s="316">
        <f>('2014-25 ES CT G Table D-Proj $'!F12+'2014-25 ES CT G Table D-Proj $'!F13)/'2014-24 ES CT G Table D1 AnnCCF'!F18</f>
        <v>8.7211595333309617</v>
      </c>
      <c r="F18" s="316">
        <v>0</v>
      </c>
      <c r="G18" s="316">
        <v>0</v>
      </c>
      <c r="H18" s="316">
        <v>0</v>
      </c>
      <c r="I18" s="316">
        <v>0</v>
      </c>
      <c r="J18" s="316">
        <v>0</v>
      </c>
      <c r="K18" s="316">
        <v>0</v>
      </c>
      <c r="L18" s="316">
        <v>0</v>
      </c>
      <c r="M18" s="316">
        <v>0</v>
      </c>
      <c r="N18" s="316">
        <v>0</v>
      </c>
    </row>
    <row r="19" spans="2:16" ht="21.75" customHeight="1" thickBot="1" x14ac:dyDescent="0.3">
      <c r="B19" s="177" t="s">
        <v>230</v>
      </c>
      <c r="C19" s="319">
        <f>'2014-25 ES CT G Table D-Proj $'!D14/'2014-24 ES CT G Table D1 AnnCCF'!D19</f>
        <v>7.5455648722201198</v>
      </c>
      <c r="D19" s="319">
        <f>'2014-25 ES CT G Table D-Proj $'!E14/'2014-24 ES CT G Table D1 AnnCCF'!E19</f>
        <v>9.4575450181697835</v>
      </c>
      <c r="E19" s="319">
        <f>'2014-25 ES CT G Table D-Proj $'!F14/'2014-24 ES CT G Table D1 AnnCCF'!F19</f>
        <v>11.059758157919145</v>
      </c>
      <c r="F19" s="319">
        <f>'2014-25 ES CT G Table D-Proj $'!G14/'2014-24 ES CT G Table D1 AnnCCF'!G19</f>
        <v>11.941362274432992</v>
      </c>
      <c r="G19" s="319">
        <f>'2014-25 ES CT G Table D-Proj $'!H14/'2014-24 ES CT G Table D1 AnnCCF'!H19</f>
        <v>11.093334246331796</v>
      </c>
      <c r="H19" s="319">
        <f>'2014-25 ES CT G Table D-Proj $'!I14/'2014-24 ES CT G Table D1 AnnCCF'!I19</f>
        <v>11.921876608773404</v>
      </c>
      <c r="I19" s="319">
        <f>'2014-25 ES CT G Table D-Proj $'!J14/'2014-24 ES CT G Table D1 AnnCCF'!J19</f>
        <v>12.442556566295222</v>
      </c>
      <c r="J19" s="319">
        <f>'2014-25 ES CT G Table D-Proj $'!K14/'2014-24 ES CT G Table D1 AnnCCF'!K19</f>
        <v>19.508860047960763</v>
      </c>
      <c r="K19" s="319">
        <f>'2014-25 ES CT G Table D-Proj $'!L14/'2014-24 ES CT G Table D1 AnnCCF'!L19</f>
        <v>21.170449048415406</v>
      </c>
      <c r="L19" s="319">
        <f>'2014-25 ES CT G Table D-Proj $'!M14/'2014-24 ES CT G Table D1 AnnCCF'!M19</f>
        <v>24.038461042836595</v>
      </c>
      <c r="M19" s="319">
        <f>'2014-25 ES CT G Table D-Proj $'!N14/'2014-24 ES CT G Table D1 AnnCCF'!N19</f>
        <v>24.873428789770156</v>
      </c>
      <c r="N19" s="319">
        <f>'2014-25 ES CT G Table D-Proj $'!O14/'2014-24 ES CT G Table D1 AnnCCF'!O19</f>
        <v>24.587160299156825</v>
      </c>
    </row>
    <row r="20" spans="2:16" ht="21.75" customHeight="1" thickBot="1" x14ac:dyDescent="0.3">
      <c r="B20" s="177" t="s">
        <v>127</v>
      </c>
      <c r="C20" s="319">
        <f>'2014-25 ES CT G Table D-Proj $'!D15/'2014-24 ES CT G Table D1 AnnCCF'!D20</f>
        <v>14.605021337126599</v>
      </c>
      <c r="D20" s="319">
        <f>'2014-25 ES CT G Table D-Proj $'!E15/'2014-24 ES CT G Table D1 AnnCCF'!E20</f>
        <v>6.6799670804610765</v>
      </c>
      <c r="E20" s="319">
        <f>'2014-25 ES CT G Table D-Proj $'!F15/'2014-24 ES CT G Table D1 AnnCCF'!F20</f>
        <v>7.4092168538372327</v>
      </c>
      <c r="F20" s="319">
        <v>0</v>
      </c>
      <c r="G20" s="319">
        <v>0</v>
      </c>
      <c r="H20" s="319">
        <v>0</v>
      </c>
      <c r="I20" s="319">
        <v>0</v>
      </c>
      <c r="J20" s="319">
        <v>0</v>
      </c>
      <c r="K20" s="319">
        <v>0</v>
      </c>
      <c r="L20" s="319">
        <v>0</v>
      </c>
      <c r="M20" s="319">
        <v>0</v>
      </c>
      <c r="N20" s="319">
        <v>0</v>
      </c>
    </row>
    <row r="21" spans="2:16" ht="18.75" thickBot="1" x14ac:dyDescent="0.3">
      <c r="B21" s="177" t="s">
        <v>195</v>
      </c>
      <c r="C21" s="319">
        <v>0</v>
      </c>
      <c r="D21" s="319">
        <v>0</v>
      </c>
      <c r="E21" s="319">
        <v>0</v>
      </c>
      <c r="F21" s="319">
        <v>0</v>
      </c>
      <c r="G21" s="319">
        <f>'2014-25 ES CT G Table D-Proj $'!H16/'2014-24 ES CT G Table D1 AnnCCF'!H21</f>
        <v>1.9104884277320489</v>
      </c>
      <c r="H21" s="319">
        <f>'2014-25 ES CT G Table D-Proj $'!I16/'2014-24 ES CT G Table D1 AnnCCF'!I21</f>
        <v>3.525580024422081</v>
      </c>
      <c r="I21" s="319">
        <f>'2014-25 ES CT G Table D-Proj $'!J16/'2014-24 ES CT G Table D1 AnnCCF'!J21</f>
        <v>4.4203898402678554</v>
      </c>
      <c r="J21" s="319">
        <v>0</v>
      </c>
      <c r="K21" s="319">
        <v>0</v>
      </c>
      <c r="L21" s="319">
        <f>'2014-25 ES CT G Table D-Proj $'!M16/'2014-24 ES CT G Table D1 AnnCCF'!M21</f>
        <v>1.0848340203948796</v>
      </c>
      <c r="M21" s="319">
        <f>'2014-25 ES CT G Table D-Proj $'!N16/'2014-24 ES CT G Table D1 AnnCCF'!N21</f>
        <v>1.0848340203948796</v>
      </c>
      <c r="N21" s="319">
        <f>'2014-25 ES CT G Table D-Proj $'!O16/'2014-24 ES CT G Table D1 AnnCCF'!O21</f>
        <v>1.0848340203948796</v>
      </c>
    </row>
    <row r="22" spans="2:16" ht="18.75" thickBot="1" x14ac:dyDescent="0.3">
      <c r="B22" s="176" t="s">
        <v>213</v>
      </c>
      <c r="C22" s="315">
        <f>'2014-25 ES CT G Table D-Proj $'!D17/'2014-24 ES CT G Table D1 AnnCCF'!D22</f>
        <v>6.5419202186661236</v>
      </c>
      <c r="D22" s="315">
        <f>'2014-25 ES CT G Table D-Proj $'!E17/'2014-24 ES CT G Table D1 AnnCCF'!E22</f>
        <v>8.757237250721472</v>
      </c>
      <c r="E22" s="315">
        <f>'2014-25 ES CT G Table D-Proj $'!F17/'2014-24 ES CT G Table D1 AnnCCF'!F22</f>
        <v>9.1788379839570613</v>
      </c>
      <c r="F22" s="315">
        <f>'2014-25 ES CT G Table D-Proj $'!G17/'2014-24 ES CT G Table D1 AnnCCF'!G22</f>
        <v>10.473192770478986</v>
      </c>
      <c r="G22" s="315">
        <f>'2014-25 ES CT G Table D-Proj $'!H17/'2014-24 ES CT G Table D1 AnnCCF'!H22</f>
        <v>7.539017016707299</v>
      </c>
      <c r="H22" s="315">
        <f>'2014-25 ES CT G Table D-Proj $'!I17/'2014-24 ES CT G Table D1 AnnCCF'!I22</f>
        <v>8.8601210456104145</v>
      </c>
      <c r="I22" s="315">
        <f>'2014-25 ES CT G Table D-Proj $'!J17/'2014-24 ES CT G Table D1 AnnCCF'!J22</f>
        <v>9.1891871506129323</v>
      </c>
      <c r="J22" s="315">
        <f>'2014-25 ES CT G Table D-Proj $'!K17/'2014-24 ES CT G Table D1 AnnCCF'!K22</f>
        <v>11.422690814500253</v>
      </c>
      <c r="K22" s="315">
        <f>'2014-25 ES CT G Table D-Proj $'!L17/'2014-24 ES CT G Table D1 AnnCCF'!L22</f>
        <v>12.440008568756316</v>
      </c>
      <c r="L22" s="315">
        <f>'2014-25 ES CT G Table D-Proj $'!M17/'2014-24 ES CT G Table D1 AnnCCF'!M22</f>
        <v>12.223931708571333</v>
      </c>
      <c r="M22" s="315">
        <f>'2014-25 ES CT G Table D-Proj $'!N17/'2014-24 ES CT G Table D1 AnnCCF'!N22</f>
        <v>11.360803989067984</v>
      </c>
      <c r="N22" s="315">
        <f>'2014-25 ES CT G Table D-Proj $'!O17/'2014-24 ES CT G Table D1 AnnCCF'!O22</f>
        <v>12.009704415228653</v>
      </c>
    </row>
    <row r="23" spans="2:16" ht="18.75" thickBot="1" x14ac:dyDescent="0.3">
      <c r="B23" s="542" t="s">
        <v>1</v>
      </c>
      <c r="C23" s="542"/>
      <c r="D23" s="542"/>
      <c r="E23" s="542"/>
      <c r="F23" s="542"/>
      <c r="G23" s="542"/>
      <c r="H23" s="542"/>
      <c r="I23" s="542"/>
      <c r="J23" s="542"/>
      <c r="K23" s="542"/>
      <c r="L23" s="542"/>
      <c r="M23" s="542"/>
      <c r="N23" s="542"/>
    </row>
    <row r="24" spans="2:16" ht="22.5" customHeight="1" thickBot="1" x14ac:dyDescent="0.3">
      <c r="B24" s="177" t="s">
        <v>94</v>
      </c>
      <c r="C24" s="319">
        <f>'2014-25 ES CT G Table D-Proj $'!D19/'2014-24 ES CT G Table D1 AnnCCF'!D24</f>
        <v>4.4322465075658188</v>
      </c>
      <c r="D24" s="319">
        <f>'2014-25 ES CT G Table D-Proj $'!E19/'2014-24 ES CT G Table D1 AnnCCF'!E24</f>
        <v>6.0051251651171764</v>
      </c>
      <c r="E24" s="319">
        <f>'2014-25 ES CT G Table D-Proj $'!F19/'2014-24 ES CT G Table D1 AnnCCF'!F24</f>
        <v>3.4023124328456897</v>
      </c>
      <c r="F24" s="319">
        <f>'2014-25 ES CT G Table D-Proj $'!G19/'2014-24 ES CT G Table D1 AnnCCF'!G24</f>
        <v>4.5360208056749087</v>
      </c>
      <c r="G24" s="319">
        <f>'2014-25 ES CT G Table D-Proj $'!H19/'2014-24 ES CT G Table D1 AnnCCF'!H24</f>
        <v>4.9443451483273675</v>
      </c>
      <c r="H24" s="319">
        <f>'2014-25 ES CT G Table D-Proj $'!I19/'2014-24 ES CT G Table D1 AnnCCF'!I24</f>
        <v>5.3093730612907528</v>
      </c>
      <c r="I24" s="319">
        <f>'2014-25 ES CT G Table D-Proj $'!J19/'2014-24 ES CT G Table D1 AnnCCF'!J24</f>
        <v>6.3214038479900694</v>
      </c>
      <c r="J24" s="319">
        <f>'2014-25 ES CT G Table D-Proj $'!K19/'2014-24 ES CT G Table D1 AnnCCF'!K24</f>
        <v>5.6813040467067113</v>
      </c>
      <c r="K24" s="319">
        <f>'2014-25 ES CT G Table D-Proj $'!L19/'2014-24 ES CT G Table D1 AnnCCF'!L24</f>
        <v>9.2424716146884762</v>
      </c>
      <c r="L24" s="319">
        <f>'2014-25 ES CT G Table D-Proj $'!M19/'2014-24 ES CT G Table D1 AnnCCF'!M24</f>
        <v>9.7942033556335488</v>
      </c>
      <c r="M24" s="319">
        <f>'2014-25 ES CT G Table D-Proj $'!N19/'2014-24 ES CT G Table D1 AnnCCF'!N24</f>
        <v>10.185358266820687</v>
      </c>
      <c r="N24" s="319">
        <f>'2014-25 ES CT G Table D-Proj $'!O19/'2014-24 ES CT G Table D1 AnnCCF'!O24</f>
        <v>10.142360761401788</v>
      </c>
    </row>
    <row r="25" spans="2:16" ht="27.75" customHeight="1" thickBot="1" x14ac:dyDescent="0.3">
      <c r="B25" s="177" t="s">
        <v>48</v>
      </c>
      <c r="C25" s="319">
        <f>'2014-25 ES CT G Table D-Proj $'!D20/'2014-24 ES CT G Table D1 AnnCCF'!D25</f>
        <v>1.8081660276567375</v>
      </c>
      <c r="D25" s="319">
        <f>'2014-25 ES CT G Table D-Proj $'!E20/'2014-24 ES CT G Table D1 AnnCCF'!E25</f>
        <v>3.3434249669861029</v>
      </c>
      <c r="E25" s="319">
        <f>'2014-25 ES CT G Table D-Proj $'!F20/'2014-24 ES CT G Table D1 AnnCCF'!F25</f>
        <v>3.6292332827888378</v>
      </c>
      <c r="F25" s="319">
        <f>'2014-25 ES CT G Table D-Proj $'!G20/'2014-24 ES CT G Table D1 AnnCCF'!G25</f>
        <v>5.006274942715728</v>
      </c>
      <c r="G25" s="319">
        <f>'2014-25 ES CT G Table D-Proj $'!H20/'2014-24 ES CT G Table D1 AnnCCF'!H25</f>
        <v>4.1367419297792489</v>
      </c>
      <c r="H25" s="319">
        <f>'2014-25 ES CT G Table D-Proj $'!I20/'2014-24 ES CT G Table D1 AnnCCF'!I25</f>
        <v>4.7528378970909957</v>
      </c>
      <c r="I25" s="319">
        <f>'2014-25 ES CT G Table D-Proj $'!J20/'2014-24 ES CT G Table D1 AnnCCF'!J25</f>
        <v>4.3279625605883334</v>
      </c>
      <c r="J25" s="319">
        <f>'2014-25 ES CT G Table D-Proj $'!K20/'2014-24 ES CT G Table D1 AnnCCF'!K25</f>
        <v>7.5070748796890339</v>
      </c>
      <c r="K25" s="319">
        <f>'2014-25 ES CT G Table D-Proj $'!L20/'2014-24 ES CT G Table D1 AnnCCF'!L25</f>
        <v>2.0580536186549527</v>
      </c>
      <c r="L25" s="319">
        <f>'2014-25 ES CT G Table D-Proj $'!M20/'2014-24 ES CT G Table D1 AnnCCF'!M25</f>
        <v>8.118609077089225</v>
      </c>
      <c r="M25" s="319">
        <f>'2014-25 ES CT G Table D-Proj $'!N20/'2014-24 ES CT G Table D1 AnnCCF'!N25</f>
        <v>6.3170788402754416</v>
      </c>
      <c r="N25" s="319">
        <f>'2014-25 ES CT G Table D-Proj $'!O20/'2014-24 ES CT G Table D1 AnnCCF'!O25</f>
        <v>6.4388142794234122</v>
      </c>
    </row>
    <row r="26" spans="2:16" ht="36.75" thickBot="1" x14ac:dyDescent="0.3">
      <c r="B26" s="295" t="s">
        <v>323</v>
      </c>
      <c r="C26" s="319">
        <f>'2014-25 ES CT G Table D-Proj $'!D21/'2014-24 ES CT G Table D1 AnnCCF'!D26</f>
        <v>1.7752995625316839</v>
      </c>
      <c r="D26" s="319">
        <f>'2014-25 ES CT G Table D-Proj $'!E21/'2014-24 ES CT G Table D1 AnnCCF'!E26</f>
        <v>1.8152070050889881</v>
      </c>
      <c r="E26" s="319">
        <f>'2014-25 ES CT G Table D-Proj $'!F21/'2014-24 ES CT G Table D1 AnnCCF'!F26</f>
        <v>1.1385749487933956</v>
      </c>
      <c r="F26" s="319">
        <f>'2014-25 ES CT G Table D-Proj $'!G21/'2014-24 ES CT G Table D1 AnnCCF'!G26</f>
        <v>1.2059648935602625</v>
      </c>
      <c r="G26" s="319">
        <f>'2014-25 ES CT G Table D-Proj $'!H21/'2014-24 ES CT G Table D1 AnnCCF'!H26</f>
        <v>0.982152524514325</v>
      </c>
      <c r="H26" s="319">
        <f>'2014-25 ES CT G Table D-Proj $'!I21/'2014-24 ES CT G Table D1 AnnCCF'!I26</f>
        <v>1.4031749786256871</v>
      </c>
      <c r="I26" s="319">
        <f>'2014-25 ES CT G Table D-Proj $'!J21/'2014-24 ES CT G Table D1 AnnCCF'!J26</f>
        <v>2.0572729735220423</v>
      </c>
      <c r="J26" s="319">
        <f>'2014-25 ES CT G Table D-Proj $'!K21/'2014-24 ES CT G Table D1 AnnCCF'!K26</f>
        <v>1.9627800581234935</v>
      </c>
      <c r="K26" s="319">
        <f>'2014-25 ES CT G Table D-Proj $'!L21/'2014-24 ES CT G Table D1 AnnCCF'!L26</f>
        <v>1.3775671165016736</v>
      </c>
      <c r="L26" s="319">
        <f>'2014-25 ES CT G Table D-Proj $'!M21/'2014-24 ES CT G Table D1 AnnCCF'!M26</f>
        <v>3.6631550623266591</v>
      </c>
      <c r="M26" s="319">
        <f>'2014-25 ES CT G Table D-Proj $'!N21/'2014-24 ES CT G Table D1 AnnCCF'!N26</f>
        <v>2.8839769578756931</v>
      </c>
      <c r="N26" s="319">
        <f>'2014-25 ES CT G Table D-Proj $'!O21/'2014-24 ES CT G Table D1 AnnCCF'!O26</f>
        <v>2.8998908279886533</v>
      </c>
    </row>
    <row r="27" spans="2:16" ht="21" customHeight="1" thickBot="1" x14ac:dyDescent="0.3">
      <c r="B27" s="177" t="s">
        <v>128</v>
      </c>
      <c r="C27" s="319">
        <f>'2014-25 ES CT G Table D-Proj $'!D22/'2014-24 ES CT G Table D1 AnnCCF'!D27</f>
        <v>5.8386365839372285</v>
      </c>
      <c r="D27" s="319">
        <f>'2014-25 ES CT G Table D-Proj $'!E22/'2014-24 ES CT G Table D1 AnnCCF'!E27</f>
        <v>3.7675152606717783</v>
      </c>
      <c r="E27" s="319">
        <f>'2014-25 ES CT G Table D-Proj $'!F22/'2014-24 ES CT G Table D1 AnnCCF'!F27</f>
        <v>6.1077805412227626</v>
      </c>
      <c r="F27" s="319">
        <f>'2014-25 ES CT G Table D-Proj $'!G22/'2014-24 ES CT G Table D1 AnnCCF'!G27</f>
        <v>5.7592483497228137</v>
      </c>
      <c r="G27" s="319">
        <f>'2014-25 ES CT G Table D-Proj $'!H22/'2014-24 ES CT G Table D1 AnnCCF'!H27</f>
        <v>8.8578612433199737</v>
      </c>
      <c r="H27" s="319">
        <f>'2014-25 ES CT G Table D-Proj $'!I22/'2014-24 ES CT G Table D1 AnnCCF'!I27</f>
        <v>2.3764407561088059</v>
      </c>
      <c r="I27" s="319">
        <f>'2014-25 ES CT G Table D-Proj $'!J22/'2014-24 ES CT G Table D1 AnnCCF'!J27</f>
        <v>4.0956389527553219</v>
      </c>
      <c r="J27" s="319">
        <f>'2014-25 ES CT G Table D-Proj $'!K22/'2014-24 ES CT G Table D1 AnnCCF'!K27</f>
        <v>31.531084822552227</v>
      </c>
      <c r="K27" s="319">
        <f>'2014-25 ES CT G Table D-Proj $'!L22/'2014-24 ES CT G Table D1 AnnCCF'!L27</f>
        <v>14.338748081909095</v>
      </c>
      <c r="L27" s="319">
        <f>'2014-25 ES CT G Table D-Proj $'!M22/'2014-24 ES CT G Table D1 AnnCCF'!M27</f>
        <v>8.5644130810511658</v>
      </c>
      <c r="M27" s="319">
        <f>'2014-25 ES CT G Table D-Proj $'!N22/'2014-24 ES CT G Table D1 AnnCCF'!N27</f>
        <v>7.987562197762748</v>
      </c>
      <c r="N27" s="319">
        <f>'2014-25 ES CT G Table D-Proj $'!O22/'2014-24 ES CT G Table D1 AnnCCF'!O27</f>
        <v>7.8175578324417199</v>
      </c>
    </row>
    <row r="28" spans="2:16" ht="21" customHeight="1" thickBot="1" x14ac:dyDescent="0.3">
      <c r="B28" s="184" t="s">
        <v>214</v>
      </c>
      <c r="C28" s="320">
        <f>'2014-25 ES CT G Table D-Proj $'!D23/'2014-24 ES CT G Table D1 AnnCCF'!D28</f>
        <v>2.9293958928288171</v>
      </c>
      <c r="D28" s="320">
        <f>'2014-25 ES CT G Table D-Proj $'!E23/'2014-24 ES CT G Table D1 AnnCCF'!E28</f>
        <v>4.176150642625907</v>
      </c>
      <c r="E28" s="320">
        <f>'2014-25 ES CT G Table D-Proj $'!F23/'2014-24 ES CT G Table D1 AnnCCF'!F28</f>
        <v>3.2770780005580202</v>
      </c>
      <c r="F28" s="320">
        <f>'2014-25 ES CT G Table D-Proj $'!G23/'2014-24 ES CT G Table D1 AnnCCF'!G28</f>
        <v>3.8027637317695882</v>
      </c>
      <c r="G28" s="320">
        <f>'2014-25 ES CT G Table D-Proj $'!H23/'2014-24 ES CT G Table D1 AnnCCF'!H28</f>
        <v>3.5594051082634821</v>
      </c>
      <c r="H28" s="320">
        <f>'2014-25 ES CT G Table D-Proj $'!I23/'2014-24 ES CT G Table D1 AnnCCF'!I28</f>
        <v>3.9287647473705607</v>
      </c>
      <c r="I28" s="320">
        <f>'2014-25 ES CT G Table D-Proj $'!J23/'2014-24 ES CT G Table D1 AnnCCF'!J28</f>
        <v>4.2810200021946425</v>
      </c>
      <c r="J28" s="320">
        <f>'2014-25 ES CT G Table D-Proj $'!K23/'2014-24 ES CT G Table D1 AnnCCF'!K28</f>
        <v>5.4673736611403863</v>
      </c>
      <c r="K28" s="320">
        <f>'2014-25 ES CT G Table D-Proj $'!L23/'2014-24 ES CT G Table D1 AnnCCF'!L28</f>
        <v>4.7954386213377145</v>
      </c>
      <c r="L28" s="320">
        <f>'2014-25 ES CT G Table D-Proj $'!M23/'2014-24 ES CT G Table D1 AnnCCF'!M28</f>
        <v>8.2373000308642634</v>
      </c>
      <c r="M28" s="320">
        <f>'2014-25 ES CT G Table D-Proj $'!N23/'2014-24 ES CT G Table D1 AnnCCF'!N28</f>
        <v>6.9758021935039833</v>
      </c>
      <c r="N28" s="320">
        <f>'2014-25 ES CT G Table D-Proj $'!O23/'2014-24 ES CT G Table D1 AnnCCF'!O28</f>
        <v>7.0227794666691983</v>
      </c>
    </row>
    <row r="29" spans="2:16" ht="18.75" hidden="1" thickBot="1" x14ac:dyDescent="0.3">
      <c r="B29" s="184" t="s">
        <v>17</v>
      </c>
      <c r="C29" s="321"/>
      <c r="D29" s="321"/>
      <c r="E29" s="321"/>
      <c r="F29" s="321"/>
      <c r="G29" s="321"/>
      <c r="H29" s="321"/>
      <c r="I29" s="321"/>
      <c r="J29" s="321"/>
      <c r="K29" s="321"/>
      <c r="L29" s="321"/>
      <c r="M29" s="321"/>
      <c r="N29" s="321"/>
    </row>
    <row r="30" spans="2:16" ht="18.75" hidden="1" thickBot="1" x14ac:dyDescent="0.3">
      <c r="B30" s="190" t="s">
        <v>6</v>
      </c>
      <c r="C30" s="322">
        <f t="shared" ref="C30:K30" si="0">C22</f>
        <v>6.5419202186661236</v>
      </c>
      <c r="D30" s="322">
        <f t="shared" si="0"/>
        <v>8.757237250721472</v>
      </c>
      <c r="E30" s="322">
        <f t="shared" si="0"/>
        <v>9.1788379839570613</v>
      </c>
      <c r="F30" s="322">
        <f t="shared" si="0"/>
        <v>10.473192770478986</v>
      </c>
      <c r="G30" s="322">
        <f t="shared" si="0"/>
        <v>7.539017016707299</v>
      </c>
      <c r="H30" s="322">
        <f t="shared" si="0"/>
        <v>8.8601210456104145</v>
      </c>
      <c r="I30" s="322">
        <f t="shared" si="0"/>
        <v>9.1891871506129323</v>
      </c>
      <c r="J30" s="322">
        <f t="shared" si="0"/>
        <v>11.422690814500253</v>
      </c>
      <c r="K30" s="322">
        <f t="shared" si="0"/>
        <v>12.440008568756316</v>
      </c>
      <c r="L30" s="322">
        <f t="shared" ref="L30:M30" si="1">L22</f>
        <v>12.223931708571333</v>
      </c>
      <c r="M30" s="322">
        <f t="shared" si="1"/>
        <v>11.360803989067984</v>
      </c>
      <c r="N30" s="322">
        <f t="shared" ref="N30" si="2">N22</f>
        <v>12.009704415228653</v>
      </c>
    </row>
    <row r="31" spans="2:16" ht="18.75" hidden="1" thickBot="1" x14ac:dyDescent="0.3">
      <c r="B31" s="190" t="s">
        <v>7</v>
      </c>
      <c r="C31" s="322">
        <f t="shared" ref="C31:H31" si="3">C28</f>
        <v>2.9293958928288171</v>
      </c>
      <c r="D31" s="322">
        <f t="shared" si="3"/>
        <v>4.176150642625907</v>
      </c>
      <c r="E31" s="322">
        <f t="shared" si="3"/>
        <v>3.2770780005580202</v>
      </c>
      <c r="F31" s="322">
        <f t="shared" si="3"/>
        <v>3.8027637317695882</v>
      </c>
      <c r="G31" s="322">
        <f t="shared" si="3"/>
        <v>3.5594051082634821</v>
      </c>
      <c r="H31" s="322">
        <f t="shared" si="3"/>
        <v>3.9287647473705607</v>
      </c>
      <c r="I31" s="322">
        <f t="shared" ref="I31:K31" si="4">I28</f>
        <v>4.2810200021946425</v>
      </c>
      <c r="J31" s="322">
        <f t="shared" si="4"/>
        <v>5.4673736611403863</v>
      </c>
      <c r="K31" s="322">
        <f t="shared" si="4"/>
        <v>4.7954386213377145</v>
      </c>
      <c r="L31" s="322">
        <f t="shared" ref="L31:M31" si="5">L28</f>
        <v>8.2373000308642634</v>
      </c>
      <c r="M31" s="322">
        <f t="shared" si="5"/>
        <v>6.9758021935039833</v>
      </c>
      <c r="N31" s="322">
        <f t="shared" ref="N31" si="6">N28</f>
        <v>7.0227794666691983</v>
      </c>
    </row>
    <row r="32" spans="2:16" ht="21.75" customHeight="1" thickBot="1" x14ac:dyDescent="0.3">
      <c r="B32" s="184" t="s">
        <v>19</v>
      </c>
      <c r="C32" s="320">
        <f>'2014-25 ES CT G Table D-Proj $'!D57/'2014-24 ES CT G Table D1 AnnCCF'!D32</f>
        <v>5.1885281554661971</v>
      </c>
      <c r="D32" s="320">
        <f>'2014-25 ES CT G Table D-Proj $'!E57/'2014-24 ES CT G Table D1 AnnCCF'!E32</f>
        <v>7.2569159974788597</v>
      </c>
      <c r="E32" s="320">
        <f>'2014-25 ES CT G Table D-Proj $'!F57/'2014-24 ES CT G Table D1 AnnCCF'!F32</f>
        <v>6.697923136616474</v>
      </c>
      <c r="F32" s="320">
        <f>'2014-25 ES CT G Table D-Proj $'!G57/'2014-24 ES CT G Table D1 AnnCCF'!G32</f>
        <v>6.7599197420523378</v>
      </c>
      <c r="G32" s="320">
        <f>'2014-25 ES CT G Table D-Proj $'!H57/'2014-24 ES CT G Table D1 AnnCCF'!H32</f>
        <v>5.9667211838626546</v>
      </c>
      <c r="H32" s="320">
        <f>'2014-25 ES CT G Table D-Proj $'!I57/'2014-24 ES CT G Table D1 AnnCCF'!I32</f>
        <v>6.6641726094378013</v>
      </c>
      <c r="I32" s="320">
        <f>'2014-25 ES CT G Table D-Proj $'!J57/'2014-24 ES CT G Table D1 AnnCCF'!J32</f>
        <v>6.951308895721465</v>
      </c>
      <c r="J32" s="320">
        <f>'2014-25 ES CT G Table D-Proj $'!K57/'2014-24 ES CT G Table D1 AnnCCF'!K32</f>
        <v>9.0188435395871913</v>
      </c>
      <c r="K32" s="320">
        <f>'2014-25 ES CT G Table D-Proj $'!L57/'2014-24 ES CT G Table D1 AnnCCF'!L32</f>
        <v>9.9454390039311296</v>
      </c>
      <c r="L32" s="320">
        <f>'2014-25 ES CT G Table D-Proj $'!M57/'2014-24 ES CT G Table D1 AnnCCF'!M32</f>
        <v>11.692081649160855</v>
      </c>
      <c r="M32" s="320">
        <f>'2014-25 ES CT G Table D-Proj $'!N57/'2014-24 ES CT G Table D1 AnnCCF'!N32</f>
        <v>9.9041188463084922</v>
      </c>
      <c r="N32" s="320">
        <f>'2014-25 ES CT G Table D-Proj $'!O57/'2014-24 ES CT G Table D1 AnnCCF'!O32</f>
        <v>10.21038057788588</v>
      </c>
      <c r="P32" s="80" t="s">
        <v>5</v>
      </c>
    </row>
  </sheetData>
  <mergeCells count="6">
    <mergeCell ref="B23:N23"/>
    <mergeCell ref="B2:N2"/>
    <mergeCell ref="B3:N3"/>
    <mergeCell ref="B4:N4"/>
    <mergeCell ref="B5:N5"/>
    <mergeCell ref="B10:N10"/>
  </mergeCells>
  <printOptions horizontalCentered="1" verticalCentered="1"/>
  <pageMargins left="0.5" right="0.5" top="0.22" bottom="1.18" header="0.22" footer="0.23"/>
  <pageSetup scale="47" orientation="landscape"/>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FA7350-F9EF-48C8-887A-680D5F5B689D}">
  <sheetPr>
    <tabColor rgb="FFFFC000"/>
    <pageSetUpPr fitToPage="1"/>
  </sheetPr>
  <dimension ref="A2:T49"/>
  <sheetViews>
    <sheetView showGridLines="0" zoomScale="85" zoomScaleNormal="85" workbookViewId="0">
      <selection activeCell="C30" sqref="C30:D30"/>
    </sheetView>
  </sheetViews>
  <sheetFormatPr defaultRowHeight="12.75" x14ac:dyDescent="0.2"/>
  <cols>
    <col min="2" max="2" width="36.28515625" bestFit="1" customWidth="1"/>
    <col min="4" max="4" width="15.7109375" bestFit="1" customWidth="1"/>
    <col min="5" max="5" width="13.42578125" customWidth="1"/>
    <col min="6" max="6" width="18.28515625" customWidth="1"/>
  </cols>
  <sheetData>
    <row r="2" spans="1:10" s="395" customFormat="1" ht="23.25" x14ac:dyDescent="0.35">
      <c r="A2" s="48"/>
      <c r="B2" s="545" t="s">
        <v>308</v>
      </c>
      <c r="C2" s="566"/>
      <c r="D2" s="566"/>
      <c r="E2" s="566"/>
      <c r="F2" s="566"/>
      <c r="G2" s="489"/>
      <c r="H2" s="489"/>
      <c r="I2" s="489"/>
      <c r="J2" s="489"/>
    </row>
    <row r="3" spans="1:10" s="395" customFormat="1" ht="23.25" x14ac:dyDescent="0.35">
      <c r="B3" s="545" t="s">
        <v>50</v>
      </c>
      <c r="C3" s="566"/>
      <c r="D3" s="566"/>
      <c r="E3" s="566"/>
      <c r="F3" s="566"/>
      <c r="G3" s="489"/>
      <c r="H3" s="489"/>
      <c r="I3" s="489"/>
      <c r="J3" s="489"/>
    </row>
    <row r="28" spans="2:20" x14ac:dyDescent="0.2">
      <c r="H28" s="34" t="s">
        <v>5</v>
      </c>
    </row>
    <row r="29" spans="2:20" s="395" customFormat="1" ht="72.75" customHeight="1" x14ac:dyDescent="0.2">
      <c r="B29" s="403" t="s">
        <v>51</v>
      </c>
      <c r="C29" s="560" t="s">
        <v>192</v>
      </c>
      <c r="D29" s="560"/>
      <c r="E29" s="465" t="s">
        <v>146</v>
      </c>
      <c r="F29" s="401" t="s">
        <v>221</v>
      </c>
      <c r="G29" s="54"/>
      <c r="H29" s="55"/>
      <c r="N29" s="6"/>
      <c r="O29" s="6"/>
      <c r="P29" s="8"/>
      <c r="Q29" s="8"/>
      <c r="R29" s="56"/>
      <c r="S29" s="57"/>
      <c r="T29" s="8"/>
    </row>
    <row r="30" spans="2:20" s="395" customFormat="1" ht="21.75" customHeight="1" x14ac:dyDescent="0.25">
      <c r="B30" s="385" t="s">
        <v>222</v>
      </c>
      <c r="C30" s="561">
        <f>'ES CT Gas 2022 Table A Pie'!C30+'[10]CNG 2022 Table A Pie Chart'!$B$28+'[10]SCG 2022 Table A Pie Chart'!$B$28</f>
        <v>9836720.3141947929</v>
      </c>
      <c r="D30" s="562"/>
      <c r="E30" s="386">
        <f>SUM(C30/C43)</f>
        <v>0.21918812683919101</v>
      </c>
      <c r="F30" s="387">
        <f>C30/C37</f>
        <v>0.25030707267509905</v>
      </c>
      <c r="G30" s="55"/>
      <c r="H30" s="55"/>
      <c r="N30" s="6"/>
      <c r="O30" s="6"/>
      <c r="P30" s="8"/>
      <c r="Q30" s="8"/>
      <c r="R30" s="56"/>
      <c r="S30" s="57"/>
      <c r="T30" s="8"/>
    </row>
    <row r="31" spans="2:20" s="395" customFormat="1" ht="21" customHeight="1" x14ac:dyDescent="0.25">
      <c r="B31" s="385" t="s">
        <v>223</v>
      </c>
      <c r="C31" s="561">
        <f>C32-C30</f>
        <v>15957506.92953979</v>
      </c>
      <c r="D31" s="562"/>
      <c r="E31" s="386">
        <f>C31/C43</f>
        <v>0.35557542973565259</v>
      </c>
      <c r="F31" s="387">
        <f>C31/C37</f>
        <v>0.4060577834018323</v>
      </c>
      <c r="G31" s="55"/>
      <c r="H31" s="59"/>
      <c r="I31" s="60"/>
      <c r="J31" s="60"/>
      <c r="K31" s="60"/>
      <c r="L31" s="60"/>
      <c r="N31" s="6"/>
      <c r="O31" s="6"/>
      <c r="P31" s="8"/>
      <c r="Q31" s="8"/>
      <c r="R31" s="56"/>
      <c r="S31" s="57"/>
      <c r="T31" s="8"/>
    </row>
    <row r="32" spans="2:20" s="395" customFormat="1" ht="16.5" x14ac:dyDescent="0.25">
      <c r="B32" s="388" t="s">
        <v>54</v>
      </c>
      <c r="C32" s="555">
        <f>'2022 - 2024 Combined Table A1'!O52</f>
        <v>25794227.243734583</v>
      </c>
      <c r="D32" s="555"/>
      <c r="E32" s="389">
        <f>SUM(E30:E31)</f>
        <v>0.57476355657484357</v>
      </c>
      <c r="F32" s="389">
        <f>SUM(F30:F31)</f>
        <v>0.65636485607693129</v>
      </c>
      <c r="G32" s="55"/>
      <c r="H32" s="55"/>
      <c r="N32" s="6"/>
      <c r="O32" s="6"/>
      <c r="P32" s="8"/>
      <c r="Q32" s="8"/>
      <c r="R32" s="56"/>
      <c r="S32" s="57"/>
      <c r="T32" s="8"/>
    </row>
    <row r="33" spans="2:20" s="395" customFormat="1" ht="16.5" x14ac:dyDescent="0.25">
      <c r="B33" s="390"/>
      <c r="C33" s="547"/>
      <c r="D33" s="548"/>
      <c r="E33" s="386"/>
      <c r="F33" s="387"/>
      <c r="G33" s="61"/>
      <c r="H33" s="61"/>
      <c r="N33" s="8"/>
      <c r="O33" s="8"/>
      <c r="P33" s="8"/>
      <c r="Q33" s="8"/>
      <c r="R33" s="8"/>
      <c r="S33" s="8"/>
      <c r="T33" s="8"/>
    </row>
    <row r="34" spans="2:20" s="395" customFormat="1" ht="16.5" x14ac:dyDescent="0.25">
      <c r="B34" s="385" t="s">
        <v>55</v>
      </c>
      <c r="C34" s="563">
        <f>'2022 - 2024 Combined Table A1'!O53</f>
        <v>13504383.894445077</v>
      </c>
      <c r="D34" s="563"/>
      <c r="E34" s="386">
        <f>SUM(C34/C43)</f>
        <v>0.30091336496264437</v>
      </c>
      <c r="F34" s="387">
        <f>SUM(C34/C37)</f>
        <v>0.34363514392306865</v>
      </c>
      <c r="G34" s="61"/>
      <c r="H34" s="61"/>
      <c r="N34" s="8"/>
      <c r="O34" s="8"/>
      <c r="P34" s="8"/>
      <c r="Q34" s="8"/>
      <c r="R34" s="8"/>
      <c r="S34" s="8"/>
      <c r="T34" s="8"/>
    </row>
    <row r="35" spans="2:20" s="395" customFormat="1" ht="16.5" x14ac:dyDescent="0.25">
      <c r="B35" s="388" t="s">
        <v>56</v>
      </c>
      <c r="C35" s="555">
        <f>SUM(C34)</f>
        <v>13504383.894445077</v>
      </c>
      <c r="D35" s="555"/>
      <c r="E35" s="389">
        <f>SUM(E33:E34)</f>
        <v>0.30091336496264437</v>
      </c>
      <c r="F35" s="389">
        <f>SUM(F33:F34)</f>
        <v>0.34363514392306865</v>
      </c>
      <c r="G35" s="55"/>
      <c r="H35" s="62"/>
      <c r="N35" s="8"/>
      <c r="O35" s="8"/>
      <c r="P35" s="8"/>
      <c r="Q35" s="8"/>
      <c r="R35" s="8"/>
      <c r="S35" s="8"/>
      <c r="T35" s="8"/>
    </row>
    <row r="36" spans="2:20" s="395" customFormat="1" ht="16.5" x14ac:dyDescent="0.25">
      <c r="B36" s="391"/>
      <c r="C36" s="564"/>
      <c r="D36" s="565"/>
      <c r="E36" s="392"/>
      <c r="F36" s="392"/>
      <c r="G36" s="55"/>
      <c r="H36" s="62"/>
    </row>
    <row r="37" spans="2:20" s="395" customFormat="1" ht="16.5" x14ac:dyDescent="0.25">
      <c r="B37" s="388" t="s">
        <v>57</v>
      </c>
      <c r="C37" s="555">
        <f>SUM(C32+C35)</f>
        <v>39298611.13817966</v>
      </c>
      <c r="D37" s="555"/>
      <c r="E37" s="389">
        <f>SUM(E32+E35)</f>
        <v>0.875676921537488</v>
      </c>
      <c r="F37" s="389">
        <f>SUM(F32+F35)</f>
        <v>1</v>
      </c>
      <c r="G37" s="55"/>
      <c r="H37" s="62"/>
    </row>
    <row r="38" spans="2:20" s="395" customFormat="1" ht="16.5" x14ac:dyDescent="0.25">
      <c r="B38" s="390"/>
      <c r="C38" s="547"/>
      <c r="D38" s="548"/>
      <c r="E38" s="387"/>
      <c r="F38" s="393"/>
      <c r="G38" s="55"/>
      <c r="H38" s="66"/>
    </row>
    <row r="39" spans="2:20" s="397" customFormat="1" ht="15" customHeight="1" x14ac:dyDescent="0.25">
      <c r="B39" s="569" t="s">
        <v>58</v>
      </c>
      <c r="C39" s="570"/>
      <c r="D39" s="570"/>
      <c r="E39" s="570"/>
      <c r="F39" s="571"/>
      <c r="G39" s="68"/>
      <c r="H39" s="68"/>
    </row>
    <row r="40" spans="2:20" s="397" customFormat="1" ht="26.25" customHeight="1" x14ac:dyDescent="0.25">
      <c r="B40" s="490" t="s">
        <v>58</v>
      </c>
      <c r="C40" s="567">
        <f>'2022 - 2024 Combined Table A1'!O54</f>
        <v>5579368.5956933098</v>
      </c>
      <c r="D40" s="567"/>
      <c r="E40" s="491">
        <f>C40/C43</f>
        <v>0.12432307846251194</v>
      </c>
      <c r="F40" s="492"/>
      <c r="G40" s="68"/>
      <c r="H40" s="68"/>
    </row>
    <row r="41" spans="2:20" s="397" customFormat="1" ht="19.5" customHeight="1" x14ac:dyDescent="0.25">
      <c r="B41" s="493" t="s">
        <v>59</v>
      </c>
      <c r="C41" s="568">
        <f>SUM(C40)</f>
        <v>5579368.5956933098</v>
      </c>
      <c r="D41" s="568"/>
      <c r="E41" s="494">
        <f>SUM(E40)</f>
        <v>0.12432307846251194</v>
      </c>
      <c r="F41" s="495"/>
      <c r="G41" s="68"/>
      <c r="H41" s="68"/>
    </row>
    <row r="42" spans="2:20" s="397" customFormat="1" ht="16.5" x14ac:dyDescent="0.25">
      <c r="B42" s="572"/>
      <c r="C42" s="557"/>
      <c r="D42" s="557"/>
      <c r="E42" s="557"/>
      <c r="F42" s="573"/>
      <c r="G42" s="68"/>
      <c r="H42" s="68"/>
    </row>
    <row r="43" spans="2:20" s="397" customFormat="1" ht="16.5" x14ac:dyDescent="0.25">
      <c r="B43" s="394" t="s">
        <v>28</v>
      </c>
      <c r="C43" s="559">
        <f>C41+C37</f>
        <v>44877979.733872972</v>
      </c>
      <c r="D43" s="559"/>
      <c r="E43" s="389">
        <f>E37+E41</f>
        <v>0.99999999999999989</v>
      </c>
      <c r="F43" s="407"/>
      <c r="G43" s="68"/>
      <c r="H43" s="68"/>
    </row>
    <row r="44" spans="2:20" s="397" customFormat="1" ht="21" customHeight="1" x14ac:dyDescent="0.25">
      <c r="B44" s="404" t="s">
        <v>141</v>
      </c>
      <c r="C44" s="552">
        <f>'2022 - 2024 Combined Table A1'!L55</f>
        <v>17880930.993858557</v>
      </c>
      <c r="D44" s="553"/>
      <c r="E44" s="406">
        <f>C44/C43</f>
        <v>0.39843440145685521</v>
      </c>
      <c r="F44" s="407"/>
    </row>
    <row r="45" spans="2:20" s="398" customFormat="1" ht="21.75" customHeight="1" x14ac:dyDescent="0.25">
      <c r="B45" s="404" t="s">
        <v>45</v>
      </c>
      <c r="C45" s="552">
        <f>'2022 - 2024 Combined Table A1'!M55</f>
        <v>14816121.033924829</v>
      </c>
      <c r="D45" s="553"/>
      <c r="E45" s="406">
        <f>C45/C43</f>
        <v>0.33014233532312792</v>
      </c>
      <c r="F45" s="407"/>
    </row>
    <row r="46" spans="2:20" s="398" customFormat="1" ht="19.5" customHeight="1" x14ac:dyDescent="0.25">
      <c r="B46" s="404" t="s">
        <v>46</v>
      </c>
      <c r="C46" s="552">
        <f>'2022 - 2024 Combined Table A1'!N55</f>
        <v>12180927.706089582</v>
      </c>
      <c r="D46" s="553"/>
      <c r="E46" s="406">
        <f>C46/C43</f>
        <v>0.27142326322001675</v>
      </c>
      <c r="F46" s="404"/>
    </row>
    <row r="48" spans="2:20" s="80" customFormat="1" ht="16.5" x14ac:dyDescent="0.25">
      <c r="B48" s="280" t="s">
        <v>256</v>
      </c>
      <c r="C48" s="430"/>
      <c r="D48" s="431"/>
      <c r="E48" s="400"/>
      <c r="F48" s="400"/>
    </row>
    <row r="49" spans="2:6" s="80" customFormat="1" ht="16.5" x14ac:dyDescent="0.25">
      <c r="B49" s="434" t="s">
        <v>257</v>
      </c>
      <c r="C49" s="430"/>
      <c r="D49" s="431"/>
      <c r="E49" s="433"/>
      <c r="F49" s="433"/>
    </row>
  </sheetData>
  <mergeCells count="20">
    <mergeCell ref="B39:F39"/>
    <mergeCell ref="B42:F42"/>
    <mergeCell ref="C45:D45"/>
    <mergeCell ref="C38:D38"/>
    <mergeCell ref="C29:D29"/>
    <mergeCell ref="C30:D30"/>
    <mergeCell ref="C31:D31"/>
    <mergeCell ref="C32:D32"/>
    <mergeCell ref="C33:D33"/>
    <mergeCell ref="C46:D46"/>
    <mergeCell ref="C40:D40"/>
    <mergeCell ref="C41:D41"/>
    <mergeCell ref="C43:D43"/>
    <mergeCell ref="C44:D44"/>
    <mergeCell ref="C34:D34"/>
    <mergeCell ref="C35:D35"/>
    <mergeCell ref="C36:D36"/>
    <mergeCell ref="C37:D37"/>
    <mergeCell ref="B2:F2"/>
    <mergeCell ref="B3:F3"/>
  </mergeCells>
  <pageMargins left="0.7" right="0.7" top="0.75" bottom="0.75" header="0.3" footer="0.3"/>
  <pageSetup scale="59" orientation="portrait"/>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2">
    <tabColor rgb="FFFFC000"/>
  </sheetPr>
  <dimension ref="B2:N33"/>
  <sheetViews>
    <sheetView showGridLines="0" topLeftCell="A4" zoomScale="75" zoomScaleNormal="75" workbookViewId="0">
      <selection activeCell="K26" sqref="K26"/>
    </sheetView>
  </sheetViews>
  <sheetFormatPr defaultRowHeight="12.75" x14ac:dyDescent="0.2"/>
  <cols>
    <col min="2" max="2" width="57.7109375" customWidth="1"/>
    <col min="3" max="3" width="15.42578125" hidden="1" customWidth="1"/>
    <col min="4" max="4" width="15.28515625" customWidth="1"/>
    <col min="5" max="5" width="17.5703125" customWidth="1"/>
    <col min="6" max="6" width="17.7109375" customWidth="1"/>
    <col min="7" max="7" width="15" customWidth="1"/>
    <col min="8" max="14" width="14.28515625" customWidth="1"/>
  </cols>
  <sheetData>
    <row r="2" spans="2:14" ht="23.25" x14ac:dyDescent="0.35">
      <c r="B2" s="545" t="s">
        <v>89</v>
      </c>
      <c r="C2" s="545"/>
      <c r="D2" s="545"/>
      <c r="E2" s="545"/>
      <c r="F2" s="545"/>
      <c r="G2" s="545"/>
      <c r="H2" s="545"/>
      <c r="I2" s="545"/>
      <c r="J2" s="545"/>
      <c r="K2" s="545"/>
      <c r="L2" s="574"/>
      <c r="M2" s="574"/>
      <c r="N2" s="574"/>
    </row>
    <row r="3" spans="2:14" ht="23.25" x14ac:dyDescent="0.35">
      <c r="B3" s="545" t="s">
        <v>119</v>
      </c>
      <c r="C3" s="545"/>
      <c r="D3" s="545"/>
      <c r="E3" s="545"/>
      <c r="F3" s="545"/>
      <c r="G3" s="545"/>
      <c r="H3" s="545"/>
      <c r="I3" s="545"/>
      <c r="J3" s="545"/>
      <c r="K3" s="545"/>
      <c r="L3" s="574"/>
      <c r="M3" s="574"/>
      <c r="N3" s="574"/>
    </row>
    <row r="4" spans="2:14" ht="23.25" x14ac:dyDescent="0.35">
      <c r="B4" s="545" t="s">
        <v>61</v>
      </c>
      <c r="C4" s="545"/>
      <c r="D4" s="545"/>
      <c r="E4" s="545"/>
      <c r="F4" s="545"/>
      <c r="G4" s="545"/>
      <c r="H4" s="545"/>
      <c r="I4" s="545"/>
      <c r="J4" s="545"/>
      <c r="K4" s="545"/>
      <c r="L4" s="574"/>
      <c r="M4" s="574"/>
      <c r="N4" s="574"/>
    </row>
    <row r="5" spans="2:14" ht="21" thickBot="1" x14ac:dyDescent="0.35">
      <c r="B5" s="613"/>
      <c r="C5" s="613"/>
      <c r="D5" s="613"/>
      <c r="E5" s="613"/>
      <c r="F5" s="613"/>
      <c r="G5" s="613"/>
      <c r="H5" s="613"/>
      <c r="I5" s="613"/>
      <c r="J5" s="613"/>
      <c r="K5" s="613"/>
    </row>
    <row r="6" spans="2:14" ht="18" x14ac:dyDescent="0.25">
      <c r="B6" s="200"/>
      <c r="C6" s="166">
        <v>2013</v>
      </c>
      <c r="D6" s="166">
        <v>2014</v>
      </c>
      <c r="E6" s="166">
        <v>2015</v>
      </c>
      <c r="F6" s="166">
        <v>2016</v>
      </c>
      <c r="G6" s="166">
        <v>2017</v>
      </c>
      <c r="H6" s="166">
        <v>2018</v>
      </c>
      <c r="I6" s="166">
        <v>2019</v>
      </c>
      <c r="J6" s="166">
        <v>2020</v>
      </c>
      <c r="K6" s="166">
        <v>2021</v>
      </c>
      <c r="L6" s="166">
        <v>2022</v>
      </c>
      <c r="M6" s="166">
        <v>2023</v>
      </c>
      <c r="N6" s="166">
        <v>2024</v>
      </c>
    </row>
    <row r="7" spans="2:14" ht="18" x14ac:dyDescent="0.25">
      <c r="B7" s="323"/>
      <c r="C7" s="202"/>
      <c r="D7" s="202"/>
      <c r="E7" s="202"/>
      <c r="F7" s="202"/>
      <c r="G7" s="202"/>
      <c r="H7" s="202"/>
      <c r="I7" s="202"/>
      <c r="J7" s="202"/>
      <c r="K7" s="202"/>
      <c r="L7" s="202"/>
      <c r="M7" s="202"/>
      <c r="N7" s="202"/>
    </row>
    <row r="8" spans="2:14" ht="15.75" customHeight="1" x14ac:dyDescent="0.25">
      <c r="B8" s="201"/>
      <c r="C8" s="170" t="s">
        <v>117</v>
      </c>
      <c r="D8" s="170" t="s">
        <v>117</v>
      </c>
      <c r="E8" s="170" t="s">
        <v>62</v>
      </c>
      <c r="F8" s="170" t="s">
        <v>62</v>
      </c>
      <c r="G8" s="170" t="s">
        <v>62</v>
      </c>
      <c r="H8" s="170" t="s">
        <v>62</v>
      </c>
      <c r="I8" s="170" t="s">
        <v>62</v>
      </c>
      <c r="J8" s="170" t="s">
        <v>62</v>
      </c>
      <c r="K8" s="170" t="s">
        <v>62</v>
      </c>
      <c r="L8" s="170" t="s">
        <v>209</v>
      </c>
      <c r="M8" s="170" t="s">
        <v>209</v>
      </c>
      <c r="N8" s="170" t="s">
        <v>209</v>
      </c>
    </row>
    <row r="9" spans="2:14" ht="21" customHeight="1" x14ac:dyDescent="0.25">
      <c r="B9" s="169" t="s">
        <v>140</v>
      </c>
      <c r="C9" s="170"/>
      <c r="D9" s="170"/>
      <c r="E9" s="170"/>
      <c r="F9" s="170"/>
      <c r="G9" s="170"/>
      <c r="H9" s="170"/>
      <c r="I9" s="170"/>
      <c r="J9" s="170"/>
      <c r="K9" s="170"/>
      <c r="L9" s="170"/>
      <c r="M9" s="170"/>
      <c r="N9" s="170"/>
    </row>
    <row r="10" spans="2:14" ht="18.75" thickBot="1" x14ac:dyDescent="0.3">
      <c r="B10" s="203"/>
      <c r="C10" s="291"/>
      <c r="D10" s="291"/>
      <c r="E10" s="291"/>
      <c r="F10" s="291"/>
      <c r="G10" s="291"/>
      <c r="H10" s="291"/>
      <c r="I10" s="291"/>
      <c r="J10" s="291"/>
      <c r="K10" s="291"/>
      <c r="L10" s="291"/>
      <c r="M10" s="291"/>
      <c r="N10" s="291"/>
    </row>
    <row r="11" spans="2:14" ht="27.75" customHeight="1" thickBot="1" x14ac:dyDescent="0.3">
      <c r="B11" s="541" t="s">
        <v>8</v>
      </c>
      <c r="C11" s="541"/>
      <c r="D11" s="541"/>
      <c r="E11" s="541"/>
      <c r="F11" s="541"/>
      <c r="G11" s="541"/>
      <c r="H11" s="541"/>
      <c r="I11" s="541"/>
      <c r="J11" s="541"/>
      <c r="K11" s="541"/>
      <c r="L11" s="619"/>
      <c r="M11" s="619"/>
      <c r="N11" s="619"/>
    </row>
    <row r="12" spans="2:14" ht="24.75" customHeight="1" thickBot="1" x14ac:dyDescent="0.3">
      <c r="B12" s="177" t="s">
        <v>126</v>
      </c>
      <c r="C12" s="319">
        <f>'2014-25 ES CT G Table D-Proj $'!D11/'2014-24 ES CT G Table D2LifeCCF'!D11</f>
        <v>0.16527561890831138</v>
      </c>
      <c r="D12" s="319">
        <f>'2014-25 ES CT G Table D-Proj $'!E11/'2014-24 ES CT G Table D2LifeCCF'!E11</f>
        <v>0.33144288638544478</v>
      </c>
      <c r="E12" s="319">
        <f>'2014-25 ES CT G Table D-Proj $'!F11/'2014-24 ES CT G Table D2LifeCCF'!F11</f>
        <v>0.23379466208608884</v>
      </c>
      <c r="F12" s="319">
        <f>'2014-25 ES CT G Table D-Proj $'!G11/'2014-24 ES CT G Table D2LifeCCF'!G11</f>
        <v>0.26055314707469285</v>
      </c>
      <c r="G12" s="319">
        <f>'2014-25 ES CT G Table D-Proj $'!H11/'2014-24 ES CT G Table D2LifeCCF'!H11</f>
        <v>0.30351559444123072</v>
      </c>
      <c r="H12" s="319">
        <f>'2014-25 ES CT G Table D-Proj $'!I11/'2014-24 ES CT G Table D2LifeCCF'!I11</f>
        <v>0.28285078636808031</v>
      </c>
      <c r="I12" s="319">
        <f>'2014-25 ES CT G Table D-Proj $'!J11/'2014-24 ES CT G Table D2LifeCCF'!J11</f>
        <v>0.20690266901927709</v>
      </c>
      <c r="J12" s="319">
        <f>'2014-25 ES CT G Table D-Proj $'!K11/'2014-24 ES CT G Table D2LifeCCF'!K11</f>
        <v>0.20096175315549603</v>
      </c>
      <c r="K12" s="319">
        <f>'2014-25 ES CT G Table D-Proj $'!L11/'2014-24 ES CT G Table D2LifeCCF'!L11</f>
        <v>0.23838009003061408</v>
      </c>
      <c r="L12" s="319">
        <f>'2014-25 ES CT G Table D-Proj $'!M11/'2014-24 ES CT G Table D2LifeCCF'!M11</f>
        <v>0.23235422010666473</v>
      </c>
      <c r="M12" s="319">
        <f>'2014-25 ES CT G Table D-Proj $'!N11/'2014-24 ES CT G Table D2LifeCCF'!N11</f>
        <v>0.20933044249390931</v>
      </c>
      <c r="N12" s="319">
        <f>'2014-25 ES CT G Table D-Proj $'!O11/'2014-24 ES CT G Table D2LifeCCF'!O11</f>
        <v>2.1582430674904085</v>
      </c>
    </row>
    <row r="13" spans="2:14" ht="54.75" thickBot="1" x14ac:dyDescent="0.3">
      <c r="B13" s="479" t="s">
        <v>314</v>
      </c>
      <c r="C13" s="319">
        <f>'2014-25 ES CT G Table D-Proj $'!D12/'2014-24 ES CT G Table D2LifeCCF'!D18</f>
        <v>0.31472576492144078</v>
      </c>
      <c r="D13" s="319">
        <f>'2014-25 ES CT G Table D-Proj $'!E12/'2014-24 ES CT G Table D2LifeCCF'!E18</f>
        <v>0.43480562068652434</v>
      </c>
      <c r="E13" s="319">
        <f>'2014-25 ES CT G Table D-Proj $'!F12/'2014-24 ES CT G Table D2LifeCCF'!F18</f>
        <v>0.43735978423472732</v>
      </c>
      <c r="F13" s="319">
        <f>'2014-25 ES CT G Table D-Proj $'!G12/'2014-24 ES CT G Table D2LifeCCF'!G12</f>
        <v>0.67129246738149906</v>
      </c>
      <c r="G13" s="319">
        <f>'2014-25 ES CT G Table D-Proj $'!H12/'2014-24 ES CT G Table D2LifeCCF'!H12</f>
        <v>0.55648899696565135</v>
      </c>
      <c r="H13" s="319">
        <f>'2014-25 ES CT G Table D-Proj $'!I12/'2014-24 ES CT G Table D2LifeCCF'!I12</f>
        <v>0.51767325128169406</v>
      </c>
      <c r="I13" s="319">
        <f>'2014-25 ES CT G Table D-Proj $'!J12/'2014-24 ES CT G Table D2LifeCCF'!J12</f>
        <v>0.4959333075155114</v>
      </c>
      <c r="J13" s="319">
        <f>'2014-25 ES CT G Table D-Proj $'!K12/'2014-24 ES CT G Table D2LifeCCF'!K12</f>
        <v>0.65988958934879882</v>
      </c>
      <c r="K13" s="319">
        <f>'2014-25 ES CT G Table D-Proj $'!L12/'2014-24 ES CT G Table D2LifeCCF'!L12</f>
        <v>0.61883003918829338</v>
      </c>
      <c r="L13" s="319">
        <f>'2014-25 ES CT G Table D-Proj $'!M12/'2014-24 ES CT G Table D2LifeCCF'!M12</f>
        <v>0.85784788059331341</v>
      </c>
      <c r="M13" s="319">
        <f>'2014-25 ES CT G Table D-Proj $'!N12/'2014-24 ES CT G Table D2LifeCCF'!N12</f>
        <v>0.98075872592335722</v>
      </c>
      <c r="N13" s="319">
        <f>'2014-25 ES CT G Table D-Proj $'!O12/'2014-24 ES CT G Table D2LifeCCF'!O12</f>
        <v>0.97300496140876336</v>
      </c>
    </row>
    <row r="14" spans="2:14" ht="18.75" thickBot="1" x14ac:dyDescent="0.3">
      <c r="B14" s="479" t="s">
        <v>348</v>
      </c>
      <c r="C14" s="319">
        <v>0</v>
      </c>
      <c r="D14" s="319">
        <v>0</v>
      </c>
      <c r="E14" s="319">
        <v>0</v>
      </c>
      <c r="F14" s="319">
        <f>'2014-25 ES CT G Table D-Proj $'!G13/'2014-24 ES CT G Table D2LifeCCF'!G13</f>
        <v>0.34430416944050179</v>
      </c>
      <c r="G14" s="319">
        <f>'2014-25 ES CT G Table D-Proj $'!H13/'2014-24 ES CT G Table D2LifeCCF'!H13</f>
        <v>0.27708388419319757</v>
      </c>
      <c r="H14" s="319">
        <f>'2014-25 ES CT G Table D-Proj $'!I13/'2014-24 ES CT G Table D2LifeCCF'!I13</f>
        <v>0.35567440704795183</v>
      </c>
      <c r="I14" s="319">
        <f>'2014-25 ES CT G Table D-Proj $'!J13/'2014-24 ES CT G Table D2LifeCCF'!J13</f>
        <v>0.49854293753122614</v>
      </c>
      <c r="J14" s="319">
        <f>'2014-25 ES CT G Table D-Proj $'!K13/'2014-24 ES CT G Table D2LifeCCF'!K13</f>
        <v>0.50126513271015249</v>
      </c>
      <c r="K14" s="319">
        <f>'2014-25 ES CT G Table D-Proj $'!L13/'2014-24 ES CT G Table D2LifeCCF'!L13</f>
        <v>0.45947601598582788</v>
      </c>
      <c r="L14" s="319">
        <f>'2014-25 ES CT G Table D-Proj $'!M13/'2014-24 ES CT G Table D2LifeCCF'!M13</f>
        <v>0.46126720186391773</v>
      </c>
      <c r="M14" s="319">
        <f>'2014-25 ES CT G Table D-Proj $'!N13/'2014-24 ES CT G Table D2LifeCCF'!N13</f>
        <v>0.30540251591447309</v>
      </c>
      <c r="N14" s="319">
        <f>'2014-25 ES CT G Table D-Proj $'!O13/'2014-24 ES CT G Table D2LifeCCF'!O13</f>
        <v>0.30236133213721378</v>
      </c>
    </row>
    <row r="15" spans="2:14" ht="22.5" customHeight="1" thickBot="1" x14ac:dyDescent="0.3">
      <c r="B15" s="177" t="s">
        <v>135</v>
      </c>
      <c r="C15" s="318">
        <v>0</v>
      </c>
      <c r="D15" s="318">
        <v>0</v>
      </c>
      <c r="E15" s="318">
        <v>0</v>
      </c>
      <c r="F15" s="318">
        <v>0</v>
      </c>
      <c r="G15" s="318">
        <v>0</v>
      </c>
      <c r="H15" s="318">
        <v>0</v>
      </c>
      <c r="I15" s="318">
        <v>0</v>
      </c>
      <c r="J15" s="318">
        <v>0</v>
      </c>
      <c r="K15" s="318">
        <v>0</v>
      </c>
      <c r="L15" s="318">
        <v>0</v>
      </c>
      <c r="M15" s="318">
        <v>0</v>
      </c>
      <c r="N15" s="318">
        <v>0</v>
      </c>
    </row>
    <row r="16" spans="2:14" ht="21" customHeight="1" thickBot="1" x14ac:dyDescent="0.3">
      <c r="B16" s="177" t="s">
        <v>134</v>
      </c>
      <c r="C16" s="318">
        <v>0</v>
      </c>
      <c r="D16" s="318">
        <v>0</v>
      </c>
      <c r="E16" s="318">
        <v>0</v>
      </c>
      <c r="F16" s="318">
        <v>0</v>
      </c>
      <c r="G16" s="318">
        <v>0</v>
      </c>
      <c r="H16" s="318">
        <v>0</v>
      </c>
      <c r="I16" s="318">
        <v>0</v>
      </c>
      <c r="J16" s="318">
        <v>0</v>
      </c>
      <c r="K16" s="318">
        <v>0</v>
      </c>
      <c r="L16" s="318">
        <v>0</v>
      </c>
      <c r="M16" s="318">
        <v>0</v>
      </c>
      <c r="N16" s="318">
        <v>0</v>
      </c>
    </row>
    <row r="17" spans="2:14" ht="42" customHeight="1" thickBot="1" x14ac:dyDescent="0.3">
      <c r="B17" s="295" t="s">
        <v>235</v>
      </c>
      <c r="C17" s="318">
        <v>0</v>
      </c>
      <c r="D17" s="318">
        <v>0</v>
      </c>
      <c r="E17" s="318">
        <v>0</v>
      </c>
      <c r="F17" s="318">
        <v>0</v>
      </c>
      <c r="G17" s="318">
        <v>0</v>
      </c>
      <c r="H17" s="318">
        <v>0</v>
      </c>
      <c r="I17" s="318">
        <v>0</v>
      </c>
      <c r="J17" s="318">
        <v>0</v>
      </c>
      <c r="K17" s="318">
        <v>0</v>
      </c>
      <c r="L17" s="318">
        <v>0</v>
      </c>
      <c r="M17" s="318">
        <v>0</v>
      </c>
      <c r="N17" s="318">
        <v>0</v>
      </c>
    </row>
    <row r="18" spans="2:14" ht="22.5" customHeight="1" thickBot="1" x14ac:dyDescent="0.3">
      <c r="B18" s="177" t="s">
        <v>133</v>
      </c>
      <c r="C18" s="318">
        <v>0</v>
      </c>
      <c r="D18" s="318">
        <v>0</v>
      </c>
      <c r="E18" s="318">
        <v>0</v>
      </c>
      <c r="F18" s="318">
        <v>0</v>
      </c>
      <c r="G18" s="318">
        <v>0</v>
      </c>
      <c r="H18" s="318">
        <v>0</v>
      </c>
      <c r="I18" s="318">
        <v>0</v>
      </c>
      <c r="J18" s="318">
        <v>0</v>
      </c>
      <c r="K18" s="318">
        <v>0</v>
      </c>
      <c r="L18" s="318">
        <v>0</v>
      </c>
      <c r="M18" s="318">
        <v>0</v>
      </c>
      <c r="N18" s="318">
        <v>0</v>
      </c>
    </row>
    <row r="19" spans="2:14" ht="18.75" thickBot="1" x14ac:dyDescent="0.3">
      <c r="B19" s="314" t="s">
        <v>233</v>
      </c>
      <c r="C19" s="315">
        <f>'2014-25 ES CT G Table D-Proj $'!D12/'2014-24 ES CT G Table D2LifeCCF'!D18</f>
        <v>0.31472576492144078</v>
      </c>
      <c r="D19" s="315">
        <f>'2014-25 ES CT G Table D-Proj $'!E12/'2014-24 ES CT G Table D2LifeCCF'!E18</f>
        <v>0.43480562068652434</v>
      </c>
      <c r="E19" s="315">
        <f>'2014-25 ES CT G Table D-Proj $'!F12/'2014-24 ES CT G Table D2LifeCCF'!F18</f>
        <v>0.43735978423472732</v>
      </c>
      <c r="F19" s="315">
        <v>0</v>
      </c>
      <c r="G19" s="315">
        <v>0</v>
      </c>
      <c r="H19" s="315">
        <v>0</v>
      </c>
      <c r="I19" s="315">
        <v>0</v>
      </c>
      <c r="J19" s="315">
        <v>0</v>
      </c>
      <c r="K19" s="315">
        <v>0</v>
      </c>
      <c r="L19" s="315">
        <v>0</v>
      </c>
      <c r="M19" s="315">
        <v>0</v>
      </c>
      <c r="N19" s="315">
        <v>0</v>
      </c>
    </row>
    <row r="20" spans="2:14" ht="21.75" customHeight="1" thickBot="1" x14ac:dyDescent="0.3">
      <c r="B20" s="177" t="s">
        <v>239</v>
      </c>
      <c r="C20" s="319">
        <f>'2014-25 ES CT G Table D-Proj $'!D14/'2014-24 ES CT G Table D2LifeCCF'!D19</f>
        <v>0.47621020049454454</v>
      </c>
      <c r="D20" s="319">
        <f>'2014-25 ES CT G Table D-Proj $'!E14/'2014-24 ES CT G Table D2LifeCCF'!E19</f>
        <v>0.4979243300196548</v>
      </c>
      <c r="E20" s="319">
        <f>'2014-25 ES CT G Table D-Proj $'!F14/'2014-24 ES CT G Table D2LifeCCF'!F19</f>
        <v>0.53468176418538382</v>
      </c>
      <c r="F20" s="319">
        <f>'2014-25 ES CT G Table D-Proj $'!G14/'2014-24 ES CT G Table D2LifeCCF'!G19</f>
        <v>0.65367305379781693</v>
      </c>
      <c r="G20" s="319">
        <f>'2014-25 ES CT G Table D-Proj $'!H14/'2014-24 ES CT G Table D2LifeCCF'!H19</f>
        <v>0.56702778200102855</v>
      </c>
      <c r="H20" s="319">
        <f>'2014-25 ES CT G Table D-Proj $'!I14/'2014-24 ES CT G Table D2LifeCCF'!I19</f>
        <v>0.58384668635023018</v>
      </c>
      <c r="I20" s="319">
        <f>'2014-25 ES CT G Table D-Proj $'!J14/'2014-24 ES CT G Table D2LifeCCF'!J19</f>
        <v>0.65662020526234277</v>
      </c>
      <c r="J20" s="319">
        <f>'2014-25 ES CT G Table D-Proj $'!K14/'2014-24 ES CT G Table D2LifeCCF'!K19</f>
        <v>0.98345983149352134</v>
      </c>
      <c r="K20" s="319">
        <f>'2014-25 ES CT G Table D-Proj $'!L14/'2014-24 ES CT G Table D2LifeCCF'!L19</f>
        <v>1.0499438526009535</v>
      </c>
      <c r="L20" s="319">
        <f>'2014-25 ES CT G Table D-Proj $'!M14/'2014-24 ES CT G Table D2LifeCCF'!M19</f>
        <v>1.2135508752162076</v>
      </c>
      <c r="M20" s="319">
        <f>'2014-25 ES CT G Table D-Proj $'!N14/'2014-24 ES CT G Table D2LifeCCF'!N19</f>
        <v>1.2714693555078056</v>
      </c>
      <c r="N20" s="319">
        <f>'2014-25 ES CT G Table D-Proj $'!O14/'2014-24 ES CT G Table D2LifeCCF'!O19</f>
        <v>1.2568360045396427</v>
      </c>
    </row>
    <row r="21" spans="2:14" ht="25.5" customHeight="1" thickBot="1" x14ac:dyDescent="0.3">
      <c r="B21" s="177" t="s">
        <v>127</v>
      </c>
      <c r="C21" s="319">
        <f>'2014-25 ES CT G Table D-Proj $'!D15/'2014-24 ES CT G Table D2LifeCCF'!D20</f>
        <v>0.73019913235189526</v>
      </c>
      <c r="D21" s="319">
        <f>'2014-25 ES CT G Table D-Proj $'!E15/'2014-24 ES CT G Table D2LifeCCF'!E20</f>
        <v>0.3483840032516814</v>
      </c>
      <c r="E21" s="319">
        <f>'2014-25 ES CT G Table D-Proj $'!F15/'2014-24 ES CT G Table D2LifeCCF'!F20</f>
        <v>0.39387365731669355</v>
      </c>
      <c r="F21" s="319">
        <v>0</v>
      </c>
      <c r="G21" s="319">
        <v>0</v>
      </c>
      <c r="H21" s="319">
        <v>0</v>
      </c>
      <c r="I21" s="319">
        <v>0</v>
      </c>
      <c r="J21" s="319">
        <v>0</v>
      </c>
      <c r="K21" s="319">
        <v>0</v>
      </c>
      <c r="L21" s="319">
        <v>0</v>
      </c>
      <c r="M21" s="319">
        <v>0</v>
      </c>
      <c r="N21" s="319">
        <v>0</v>
      </c>
    </row>
    <row r="22" spans="2:14" ht="18.75" thickBot="1" x14ac:dyDescent="0.3">
      <c r="B22" s="177" t="s">
        <v>195</v>
      </c>
      <c r="C22" s="319">
        <v>0</v>
      </c>
      <c r="D22" s="319">
        <v>0</v>
      </c>
      <c r="E22" s="319">
        <v>0</v>
      </c>
      <c r="F22" s="319">
        <v>0</v>
      </c>
      <c r="G22" s="319">
        <f>'2014-25 ES CT G Table D-Proj $'!H16/'2014-24 ES CT G Table D2LifeCCF'!H21</f>
        <v>0.71257803396374819</v>
      </c>
      <c r="H22" s="319">
        <f>'2014-25 ES CT G Table D-Proj $'!I16/'2014-24 ES CT G Table D2LifeCCF'!I21</f>
        <v>1.3648982386359005</v>
      </c>
      <c r="I22" s="319">
        <f>'2014-25 ES CT G Table D-Proj $'!J16/'2014-24 ES CT G Table D2LifeCCF'!J21</f>
        <v>1.7113105435451179</v>
      </c>
      <c r="J22" s="319">
        <v>0</v>
      </c>
      <c r="K22" s="319">
        <v>0</v>
      </c>
      <c r="L22" s="319">
        <f>'2014-25 ES CT G Table D-Proj $'!M16/'2014-24 ES CT G Table D2LifeCCF'!M21</f>
        <v>1.0848340203948796</v>
      </c>
      <c r="M22" s="319">
        <f>'2014-25 ES CT G Table D-Proj $'!N16/'2014-24 ES CT G Table D2LifeCCF'!N21</f>
        <v>0.54241701019743982</v>
      </c>
      <c r="N22" s="319">
        <f>'2014-25 ES CT G Table D-Proj $'!O16/'2014-24 ES CT G Table D2LifeCCF'!O21</f>
        <v>0.54241701019743982</v>
      </c>
    </row>
    <row r="23" spans="2:14" ht="21.75" customHeight="1" thickBot="1" x14ac:dyDescent="0.3">
      <c r="B23" s="176" t="s">
        <v>213</v>
      </c>
      <c r="C23" s="315">
        <f>'2014-25 ES CT G Table D-Proj $'!D17/'2014-24 ES CT G Table D2LifeCCF'!D22</f>
        <v>0.38334529777100157</v>
      </c>
      <c r="D23" s="315">
        <f>'2014-25 ES CT G Table D-Proj $'!E17/'2014-24 ES CT G Table D2LifeCCF'!E22</f>
        <v>0.45182554430125277</v>
      </c>
      <c r="E23" s="315">
        <f>'2014-25 ES CT G Table D-Proj $'!F17/'2014-24 ES CT G Table D2LifeCCF'!F22</f>
        <v>0.44316306148758167</v>
      </c>
      <c r="F23" s="315">
        <f>'2014-25 ES CT G Table D-Proj $'!G17/'2014-24 ES CT G Table D2LifeCCF'!G22</f>
        <v>0.53620783246289216</v>
      </c>
      <c r="G23" s="315">
        <f>'2014-25 ES CT G Table D-Proj $'!H17/'2014-24 ES CT G Table D2LifeCCF'!H22</f>
        <v>0.47033474570148714</v>
      </c>
      <c r="H23" s="315">
        <f>'2014-25 ES CT G Table D-Proj $'!I17/'2014-24 ES CT G Table D2LifeCCF'!I22</f>
        <v>0.45174682567713992</v>
      </c>
      <c r="I23" s="315">
        <f>'2014-25 ES CT G Table D-Proj $'!J17/'2014-24 ES CT G Table D2LifeCCF'!J22</f>
        <v>0.4916099692553928</v>
      </c>
      <c r="J23" s="315">
        <f>'2014-25 ES CT G Table D-Proj $'!K17/'2014-24 ES CT G Table D2LifeCCF'!K22</f>
        <v>0.60332484495982042</v>
      </c>
      <c r="K23" s="315">
        <f>'2014-25 ES CT G Table D-Proj $'!L17/'2014-24 ES CT G Table D2LifeCCF'!L22</f>
        <v>0.60661756464942762</v>
      </c>
      <c r="L23" s="315">
        <f>'2014-25 ES CT G Table D-Proj $'!M17/'2014-24 ES CT G Table D2LifeCCF'!M22</f>
        <v>0.62057102617141835</v>
      </c>
      <c r="M23" s="315">
        <f>'2014-25 ES CT G Table D-Proj $'!N17/'2014-24 ES CT G Table D2LifeCCF'!N22</f>
        <v>0.62154517660071129</v>
      </c>
      <c r="N23" s="315">
        <f>'2014-25 ES CT G Table D-Proj $'!O17/'2014-24 ES CT G Table D2LifeCCF'!O22</f>
        <v>0.66660013788858108</v>
      </c>
    </row>
    <row r="24" spans="2:14" ht="21.75" customHeight="1" thickBot="1" x14ac:dyDescent="0.3">
      <c r="B24" s="540" t="s">
        <v>1</v>
      </c>
      <c r="C24" s="540"/>
      <c r="D24" s="540"/>
      <c r="E24" s="540"/>
      <c r="F24" s="540"/>
      <c r="G24" s="540"/>
      <c r="H24" s="540"/>
      <c r="I24" s="540"/>
      <c r="J24" s="540"/>
      <c r="K24" s="540"/>
      <c r="L24" s="619"/>
      <c r="M24" s="619"/>
      <c r="N24" s="619"/>
    </row>
    <row r="25" spans="2:14" ht="24.75" customHeight="1" thickBot="1" x14ac:dyDescent="0.3">
      <c r="B25" s="177" t="s">
        <v>94</v>
      </c>
      <c r="C25" s="319">
        <f>'2014-25 ES CT G Table D-Proj $'!D19/'2014-24 ES CT G Table D2LifeCCF'!D24</f>
        <v>0.28710805245788551</v>
      </c>
      <c r="D25" s="319">
        <f>'2014-25 ES CT G Table D-Proj $'!E19/'2014-24 ES CT G Table D2LifeCCF'!E24</f>
        <v>0.39589677678251223</v>
      </c>
      <c r="E25" s="319">
        <f>'2014-25 ES CT G Table D-Proj $'!F19/'2014-24 ES CT G Table D2LifeCCF'!F24</f>
        <v>0.18594331330247704</v>
      </c>
      <c r="F25" s="319">
        <f>'2014-25 ES CT G Table D-Proj $'!G19/'2014-24 ES CT G Table D2LifeCCF'!G24</f>
        <v>0.3032039892746205</v>
      </c>
      <c r="G25" s="319">
        <f>'2014-25 ES CT G Table D-Proj $'!H19/'2014-24 ES CT G Table D2LifeCCF'!H24</f>
        <v>0.32503043512990892</v>
      </c>
      <c r="H25" s="319">
        <f>'2014-25 ES CT G Table D-Proj $'!I19/'2014-24 ES CT G Table D2LifeCCF'!I24</f>
        <v>0.36505034611521575</v>
      </c>
      <c r="I25" s="483">
        <f>'2014-25 ES CT G Table D-Proj $'!J19/'2014-24 ES CT G Table D2LifeCCF'!J24</f>
        <v>0.41796335074608904</v>
      </c>
      <c r="J25" s="483">
        <f>'2014-25 ES CT G Table D-Proj $'!K19/'2014-24 ES CT G Table D2LifeCCF'!K24</f>
        <v>0.40391725376924281</v>
      </c>
      <c r="K25" s="483">
        <f>'2014-25 ES CT G Table D-Proj $'!L19/'2014-24 ES CT G Table D2LifeCCF'!L24</f>
        <v>0.6101328809707377</v>
      </c>
      <c r="L25" s="483">
        <f>'2014-25 ES CT G Table D-Proj $'!M19/'2014-24 ES CT G Table D2LifeCCF'!M24</f>
        <v>0.64633901424084528</v>
      </c>
      <c r="M25" s="483">
        <f>'2014-25 ES CT G Table D-Proj $'!N19/'2014-24 ES CT G Table D2LifeCCF'!N24</f>
        <v>0.66532578763528838</v>
      </c>
      <c r="N25" s="483">
        <f>'2014-25 ES CT G Table D-Proj $'!O19/'2014-24 ES CT G Table D2LifeCCF'!O24</f>
        <v>0.66235573262769354</v>
      </c>
    </row>
    <row r="26" spans="2:14" ht="21" customHeight="1" thickBot="1" x14ac:dyDescent="0.3">
      <c r="B26" s="177" t="s">
        <v>48</v>
      </c>
      <c r="C26" s="319">
        <f>'2014-25 ES CT G Table D-Proj $'!D20/'2014-24 ES CT G Table D2LifeCCF'!D25</f>
        <v>0.14828752368664222</v>
      </c>
      <c r="D26" s="319">
        <f>'2014-25 ES CT G Table D-Proj $'!E20/'2014-24 ES CT G Table D2LifeCCF'!E25</f>
        <v>0.28778261966147295</v>
      </c>
      <c r="E26" s="319">
        <f>'2014-25 ES CT G Table D-Proj $'!F20/'2014-24 ES CT G Table D2LifeCCF'!F25</f>
        <v>0.2933289187329628</v>
      </c>
      <c r="F26" s="319">
        <f>'2014-25 ES CT G Table D-Proj $'!G20/'2014-24 ES CT G Table D2LifeCCF'!G25</f>
        <v>0.4622017881924228</v>
      </c>
      <c r="G26" s="319">
        <f>'2014-25 ES CT G Table D-Proj $'!H20/'2014-24 ES CT G Table D2LifeCCF'!H25</f>
        <v>0.38338244035857805</v>
      </c>
      <c r="H26" s="319">
        <f>'2014-25 ES CT G Table D-Proj $'!I19/'2014-24 ES CT G Table D2LifeCCF'!I25</f>
        <v>0.21106754287682034</v>
      </c>
      <c r="I26" s="483">
        <f>'2014-25 ES CT G Table D-Proj $'!J19/'2014-24 ES CT G Table D2LifeCCF'!J25</f>
        <v>0.42841369529300977</v>
      </c>
      <c r="J26" s="483">
        <f>'2014-25 ES CT G Table D-Proj $'!K19/'2014-24 ES CT G Table D2LifeCCF'!K25</f>
        <v>0.83737622372560083</v>
      </c>
      <c r="K26" s="483">
        <f>'2014-25 ES CT G Table D-Proj $'!L19/'2014-24 ES CT G Table D2LifeCCF'!L25</f>
        <v>1.0671317877933417</v>
      </c>
      <c r="L26" s="483">
        <f>'2014-25 ES CT G Table D-Proj $'!M19/'2014-24 ES CT G Table D2LifeCCF'!M25</f>
        <v>1.9996119887255361</v>
      </c>
      <c r="M26" s="483">
        <f>'2014-25 ES CT G Table D-Proj $'!N19/'2014-24 ES CT G Table D2LifeCCF'!N25</f>
        <v>0.6769809054639685</v>
      </c>
      <c r="N26" s="483">
        <f>'2014-25 ES CT G Table D-Proj $'!O19/'2014-24 ES CT G Table D2LifeCCF'!O25</f>
        <v>0.68963007512244823</v>
      </c>
    </row>
    <row r="27" spans="2:14" ht="36.75" thickBot="1" x14ac:dyDescent="0.3">
      <c r="B27" s="295" t="s">
        <v>237</v>
      </c>
      <c r="C27" s="319">
        <f>'2014-25 ES CT G Table D-Proj $'!D21/'2014-24 ES CT G Table D2LifeCCF'!D26</f>
        <v>0.2371604969236982</v>
      </c>
      <c r="D27" s="319">
        <f>'2014-25 ES CT G Table D-Proj $'!E21/'2014-24 ES CT G Table D2LifeCCF'!E26</f>
        <v>0.31204748133588728</v>
      </c>
      <c r="E27" s="319">
        <f>'2014-25 ES CT G Table D-Proj $'!F21/'2014-24 ES CT G Table D2LifeCCF'!F26</f>
        <v>0.19551574470668265</v>
      </c>
      <c r="F27" s="319">
        <f>'2014-25 ES CT G Table D-Proj $'!G21/'2014-24 ES CT G Table D2LifeCCF'!G26</f>
        <v>0.19618798694244197</v>
      </c>
      <c r="G27" s="319">
        <f>'2014-25 ES CT G Table D-Proj $'!H21/'2014-24 ES CT G Table D2LifeCCF'!H26</f>
        <v>0.16150074611889825</v>
      </c>
      <c r="H27" s="319">
        <f>'2014-25 ES CT G Table D-Proj $'!I21/'2014-24 ES CT G Table D2LifeCCF'!I26</f>
        <v>0.24746384903981278</v>
      </c>
      <c r="I27" s="483">
        <f>'2014-25 ES CT G Table D-Proj $'!J21/'2014-24 ES CT G Table D2LifeCCF'!J26</f>
        <v>0.27772065841500576</v>
      </c>
      <c r="J27" s="483">
        <f>'2014-25 ES CT G Table D-Proj $'!K21/'2014-24 ES CT G Table D2LifeCCF'!K26</f>
        <v>0.26130297927047175</v>
      </c>
      <c r="K27" s="483">
        <f>'2014-25 ES CT G Table D-Proj $'!L21/'2014-24 ES CT G Table D2LifeCCF'!L26</f>
        <v>0.23002238331597669</v>
      </c>
      <c r="L27" s="483">
        <f>'2014-25 ES CT G Table D-Proj $'!M21/'2014-24 ES CT G Table D2LifeCCF'!M26</f>
        <v>0.47670765184336855</v>
      </c>
      <c r="M27" s="483">
        <f>'2014-25 ES CT G Table D-Proj $'!N21/'2014-24 ES CT G Table D2LifeCCF'!N26</f>
        <v>0.37530867794771638</v>
      </c>
      <c r="N27" s="483">
        <f>'2014-25 ES CT G Table D-Proj $'!O21/'2014-24 ES CT G Table D2LifeCCF'!O26</f>
        <v>0.37737964232793331</v>
      </c>
    </row>
    <row r="28" spans="2:14" ht="18.75" thickBot="1" x14ac:dyDescent="0.3">
      <c r="B28" s="177" t="s">
        <v>128</v>
      </c>
      <c r="C28" s="319">
        <f>'2014-25 ES CT G Table D-Proj $'!D22/'2014-24 ES CT G Table D2LifeCCF'!D27</f>
        <v>0.50603477709535538</v>
      </c>
      <c r="D28" s="319">
        <f>'2014-25 ES CT G Table D-Proj $'!E22/'2014-24 ES CT G Table D2LifeCCF'!E27</f>
        <v>0.31498556044643666</v>
      </c>
      <c r="E28" s="319">
        <f>'2014-25 ES CT G Table D-Proj $'!F22/'2014-24 ES CT G Table D2LifeCCF'!F27</f>
        <v>0.44584188007554554</v>
      </c>
      <c r="F28" s="319">
        <f>'2014-25 ES CT G Table D-Proj $'!G22/'2014-24 ES CT G Table D2LifeCCF'!G27</f>
        <v>0.49394724568585791</v>
      </c>
      <c r="G28" s="319">
        <f>'2014-25 ES CT G Table D-Proj $'!H22/'2014-24 ES CT G Table D2LifeCCF'!H27</f>
        <v>0.63563396073790579</v>
      </c>
      <c r="H28" s="319">
        <f>'2014-25 ES CT G Table D-Proj $'!I22/'2014-24 ES CT G Table D2LifeCCF'!I27</f>
        <v>0.19431252449365383</v>
      </c>
      <c r="I28" s="483">
        <f>'2014-25 ES CT G Table D-Proj $'!J22/'2014-24 ES CT G Table D2LifeCCF'!J27</f>
        <v>0.30099611637255569</v>
      </c>
      <c r="J28" s="483">
        <f>'2014-25 ES CT G Table D-Proj $'!K22/'2014-24 ES CT G Table D2LifeCCF'!K27</f>
        <v>2.6988021888060665</v>
      </c>
      <c r="K28" s="483">
        <f>'2014-25 ES CT G Table D-Proj $'!L22/'2014-24 ES CT G Table D2LifeCCF'!L27</f>
        <v>1.240145895209896</v>
      </c>
      <c r="L28" s="483">
        <f>'2014-25 ES CT G Table D-Proj $'!M22/'2014-24 ES CT G Table D2LifeCCF'!M27</f>
        <v>0.71508691744699071</v>
      </c>
      <c r="M28" s="483">
        <f>'2014-25 ES CT G Table D-Proj $'!N22/'2014-24 ES CT G Table D2LifeCCF'!N27</f>
        <v>0.50067809694431209</v>
      </c>
      <c r="N28" s="483">
        <f>'2014-25 ES CT G Table D-Proj $'!O22/'2014-24 ES CT G Table D2LifeCCF'!O27</f>
        <v>0.49002184663993287</v>
      </c>
    </row>
    <row r="29" spans="2:14" ht="18.75" thickBot="1" x14ac:dyDescent="0.3">
      <c r="B29" s="184" t="s">
        <v>214</v>
      </c>
      <c r="C29" s="320">
        <f>'2014-25 ES CT G Table D-Proj $'!D23/'2014-24 ES CT G Table D2LifeCCF'!D28</f>
        <v>0.2284645260031728</v>
      </c>
      <c r="D29" s="320">
        <f>'2014-25 ES CT G Table D-Proj $'!E23/'2014-24 ES CT G Table D2LifeCCF'!E28</f>
        <v>0.34070847338879395</v>
      </c>
      <c r="E29" s="320">
        <f>'2014-25 ES CT G Table D-Proj $'!F23/'2014-24 ES CT G Table D2LifeCCF'!F28</f>
        <v>0.22339738602106748</v>
      </c>
      <c r="F29" s="320">
        <f>'2014-25 ES CT G Table D-Proj $'!G23/'2014-24 ES CT G Table D2LifeCCF'!G28</f>
        <v>0.36309157027023736</v>
      </c>
      <c r="G29" s="320">
        <f>'2014-25 ES CT G Table D-Proj $'!H23/'2014-24 ES CT G Table D2LifeCCF'!H28</f>
        <v>0.34586424977953695</v>
      </c>
      <c r="H29" s="320">
        <f>'2014-25 ES CT G Table D-Proj $'!I23/'2014-24 ES CT G Table D2LifeCCF'!I28</f>
        <v>0.39063237608410339</v>
      </c>
      <c r="I29" s="484">
        <f>'2014-25 ES CT G Table D-Proj $'!J23/'2014-24 ES CT G Table D2LifeCCF'!J28</f>
        <v>0.39509883926464828</v>
      </c>
      <c r="J29" s="484">
        <f>'2014-25 ES CT G Table D-Proj $'!K23/'2014-24 ES CT G Table D2LifeCCF'!K28</f>
        <v>0.49724462221937449</v>
      </c>
      <c r="K29" s="484">
        <f>'2014-25 ES CT G Table D-Proj $'!L23/'2014-24 ES CT G Table D2LifeCCF'!L28</f>
        <v>0.44286393402778818</v>
      </c>
      <c r="L29" s="484">
        <f>'2014-25 ES CT G Table D-Proj $'!M23/'2014-24 ES CT G Table D2LifeCCF'!M28</f>
        <v>0.66408167431352028</v>
      </c>
      <c r="M29" s="484">
        <f>'2014-25 ES CT G Table D-Proj $'!N23/'2014-24 ES CT G Table D2LifeCCF'!N28</f>
        <v>0.59851483144563833</v>
      </c>
      <c r="N29" s="484">
        <f>'2014-25 ES CT G Table D-Proj $'!O23/'2014-24 ES CT G Table D2LifeCCF'!O28</f>
        <v>0.60106629885528406</v>
      </c>
    </row>
    <row r="30" spans="2:14" ht="18.75" hidden="1" thickBot="1" x14ac:dyDescent="0.3">
      <c r="B30" s="184" t="s">
        <v>17</v>
      </c>
      <c r="C30" s="321"/>
      <c r="D30" s="321"/>
      <c r="E30" s="321"/>
      <c r="F30" s="321"/>
      <c r="G30" s="321"/>
      <c r="H30" s="321"/>
      <c r="I30" s="485"/>
      <c r="J30" s="485"/>
      <c r="K30" s="485"/>
      <c r="L30" s="485"/>
      <c r="M30" s="485"/>
      <c r="N30" s="485"/>
    </row>
    <row r="31" spans="2:14" ht="18.75" hidden="1" thickBot="1" x14ac:dyDescent="0.3">
      <c r="B31" s="190" t="s">
        <v>6</v>
      </c>
      <c r="C31" s="322">
        <f t="shared" ref="C31:K31" si="0">C23</f>
        <v>0.38334529777100157</v>
      </c>
      <c r="D31" s="322">
        <f t="shared" si="0"/>
        <v>0.45182554430125277</v>
      </c>
      <c r="E31" s="322">
        <f t="shared" si="0"/>
        <v>0.44316306148758167</v>
      </c>
      <c r="F31" s="322">
        <f t="shared" si="0"/>
        <v>0.53620783246289216</v>
      </c>
      <c r="G31" s="322">
        <f t="shared" si="0"/>
        <v>0.47033474570148714</v>
      </c>
      <c r="H31" s="322">
        <f t="shared" si="0"/>
        <v>0.45174682567713992</v>
      </c>
      <c r="I31" s="486">
        <f t="shared" si="0"/>
        <v>0.4916099692553928</v>
      </c>
      <c r="J31" s="486">
        <f t="shared" si="0"/>
        <v>0.60332484495982042</v>
      </c>
      <c r="K31" s="486">
        <f t="shared" si="0"/>
        <v>0.60661756464942762</v>
      </c>
      <c r="L31" s="486">
        <f t="shared" ref="L31:N31" si="1">L23</f>
        <v>0.62057102617141835</v>
      </c>
      <c r="M31" s="486">
        <f t="shared" si="1"/>
        <v>0.62154517660071129</v>
      </c>
      <c r="N31" s="486">
        <f t="shared" si="1"/>
        <v>0.66660013788858108</v>
      </c>
    </row>
    <row r="32" spans="2:14" ht="18.75" hidden="1" thickBot="1" x14ac:dyDescent="0.3">
      <c r="B32" s="190" t="s">
        <v>7</v>
      </c>
      <c r="C32" s="322">
        <f t="shared" ref="C32:H32" si="2">C29</f>
        <v>0.2284645260031728</v>
      </c>
      <c r="D32" s="322">
        <f t="shared" si="2"/>
        <v>0.34070847338879395</v>
      </c>
      <c r="E32" s="322">
        <f t="shared" si="2"/>
        <v>0.22339738602106748</v>
      </c>
      <c r="F32" s="322">
        <f t="shared" si="2"/>
        <v>0.36309157027023736</v>
      </c>
      <c r="G32" s="322">
        <f t="shared" si="2"/>
        <v>0.34586424977953695</v>
      </c>
      <c r="H32" s="322">
        <f t="shared" si="2"/>
        <v>0.39063237608410339</v>
      </c>
      <c r="I32" s="486">
        <f>I29</f>
        <v>0.39509883926464828</v>
      </c>
      <c r="J32" s="486">
        <f>J29</f>
        <v>0.49724462221937449</v>
      </c>
      <c r="K32" s="486">
        <f>K29</f>
        <v>0.44286393402778818</v>
      </c>
      <c r="L32" s="486">
        <f t="shared" ref="L32:N32" si="3">L29</f>
        <v>0.66408167431352028</v>
      </c>
      <c r="M32" s="486">
        <f t="shared" si="3"/>
        <v>0.59851483144563833</v>
      </c>
      <c r="N32" s="486">
        <f t="shared" si="3"/>
        <v>0.60106629885528406</v>
      </c>
    </row>
    <row r="33" spans="2:14" ht="18.75" thickBot="1" x14ac:dyDescent="0.3">
      <c r="B33" s="184" t="s">
        <v>19</v>
      </c>
      <c r="C33" s="320">
        <f>'2014-25 ES CT G Table D-Proj $'!D57/'2014-24 ES CT G Table D2LifeCCF'!D32</f>
        <v>0.34985472432928816</v>
      </c>
      <c r="D33" s="320">
        <f>'2014-25 ES CT G Table D-Proj $'!E57/'2014-24 ES CT G Table D2LifeCCF'!E32</f>
        <v>0.46164239763662396</v>
      </c>
      <c r="E33" s="320">
        <f>'2014-25 ES CT G Table D-Proj $'!F57/'2014-24 ES CT G Table D2LifeCCF'!F32</f>
        <v>0.39086936068462275</v>
      </c>
      <c r="F33" s="320">
        <f>'2014-25 ES CT G Table D-Proj $'!G57/'2014-24 ES CT G Table D2LifeCCF'!G32</f>
        <v>0.49805211230674845</v>
      </c>
      <c r="G33" s="320">
        <f>'2014-25 ES CT G Table D-Proj $'!H57/'2014-24 ES CT G Table D2LifeCCF'!H32</f>
        <v>0.46530096663597487</v>
      </c>
      <c r="H33" s="320">
        <f>'2014-25 ES CT G Table D-Proj $'!I57/'2014-24 ES CT G Table D2LifeCCF'!I32</f>
        <v>0.47915917258317997</v>
      </c>
      <c r="I33" s="484">
        <f>'2014-25 ES CT G Table D-Proj $'!J57/'2014-24 ES CT G Table D2LifeCCF'!J32</f>
        <v>0.49833218370863119</v>
      </c>
      <c r="J33" s="484">
        <f>'2014-25 ES CT G Table D-Proj $'!K57/'2014-24 ES CT G Table D2LifeCCF'!K32</f>
        <v>0.62463087187556521</v>
      </c>
      <c r="K33" s="484">
        <f>'2014-25 ES CT G Table D-Proj $'!L57/'2014-24 ES CT G Table D2LifeCCF'!L32</f>
        <v>0.61816725108559889</v>
      </c>
      <c r="L33" s="484">
        <f>'2014-25 ES CT G Table D-Proj $'!M57/'2014-24 ES CT G Table D2LifeCCF'!M32</f>
        <v>0.72592542377316061</v>
      </c>
      <c r="M33" s="484">
        <f>'2014-25 ES CT G Table D-Proj $'!N57/'2014-24 ES CT G Table D2LifeCCF'!N32</f>
        <v>0.68224041947895175</v>
      </c>
      <c r="N33" s="484">
        <f>'2014-25 ES CT G Table D-Proj $'!O57/'2014-24 ES CT G Table D2LifeCCF'!O32</f>
        <v>0.70955057824410817</v>
      </c>
    </row>
  </sheetData>
  <mergeCells count="6">
    <mergeCell ref="B24:N24"/>
    <mergeCell ref="B5:K5"/>
    <mergeCell ref="B2:N2"/>
    <mergeCell ref="B3:N3"/>
    <mergeCell ref="B4:N4"/>
    <mergeCell ref="B11:N11"/>
  </mergeCells>
  <printOptions horizontalCentered="1" verticalCentered="1"/>
  <pageMargins left="0.5" right="0.5" top="0.22" bottom="1.18" header="0.22" footer="0.23"/>
  <pageSetup scale="47" orientation="landscape"/>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23">
    <tabColor rgb="FFFFC000"/>
  </sheetPr>
  <dimension ref="A1:O35"/>
  <sheetViews>
    <sheetView showGridLines="0" zoomScale="70" zoomScaleNormal="70" workbookViewId="0">
      <pane xSplit="3" ySplit="1" topLeftCell="D2" activePane="bottomRight" state="frozen"/>
      <selection activeCell="L14" sqref="L14"/>
      <selection pane="topRight" activeCell="L14" sqref="L14"/>
      <selection pane="bottomLeft" activeCell="L14" sqref="L14"/>
      <selection pane="bottomRight" activeCell="D1" sqref="D1:D1048576"/>
    </sheetView>
  </sheetViews>
  <sheetFormatPr defaultRowHeight="15" x14ac:dyDescent="0.2"/>
  <cols>
    <col min="1" max="1" width="4.5703125" style="1" hidden="1" customWidth="1"/>
    <col min="2" max="2" width="4.5703125" style="221" customWidth="1"/>
    <col min="3" max="3" width="65.7109375" style="1" customWidth="1"/>
    <col min="4" max="4" width="16.5703125" style="1" hidden="1" customWidth="1"/>
    <col min="5" max="15" width="16.5703125" style="75" customWidth="1"/>
    <col min="16" max="253" width="9.140625" style="1"/>
    <col min="254" max="254" width="4.5703125" style="1" customWidth="1"/>
    <col min="255" max="255" width="60.7109375" style="1" customWidth="1"/>
    <col min="256" max="256" width="23.85546875" style="1" customWidth="1"/>
    <col min="257" max="258" width="21.140625" style="1" customWidth="1"/>
    <col min="259" max="259" width="20.42578125" style="1" customWidth="1"/>
    <col min="260" max="260" width="21" style="1" customWidth="1"/>
    <col min="261" max="261" width="20.85546875" style="1" customWidth="1"/>
    <col min="262" max="262" width="20.7109375" style="1" customWidth="1"/>
    <col min="263" max="263" width="18.85546875" style="1" customWidth="1"/>
    <col min="264" max="264" width="19.5703125" style="1" customWidth="1"/>
    <col min="265" max="265" width="18" style="1" customWidth="1"/>
    <col min="266" max="266" width="9.140625" style="1"/>
    <col min="267" max="267" width="23.140625" style="1" customWidth="1"/>
    <col min="268" max="268" width="9.140625" style="1"/>
    <col min="269" max="269" width="12.5703125" style="1" customWidth="1"/>
    <col min="270" max="509" width="9.140625" style="1"/>
    <col min="510" max="510" width="4.5703125" style="1" customWidth="1"/>
    <col min="511" max="511" width="60.7109375" style="1" customWidth="1"/>
    <col min="512" max="512" width="23.85546875" style="1" customWidth="1"/>
    <col min="513" max="514" width="21.140625" style="1" customWidth="1"/>
    <col min="515" max="515" width="20.42578125" style="1" customWidth="1"/>
    <col min="516" max="516" width="21" style="1" customWidth="1"/>
    <col min="517" max="517" width="20.85546875" style="1" customWidth="1"/>
    <col min="518" max="518" width="20.7109375" style="1" customWidth="1"/>
    <col min="519" max="519" width="18.85546875" style="1" customWidth="1"/>
    <col min="520" max="520" width="19.5703125" style="1" customWidth="1"/>
    <col min="521" max="521" width="18" style="1" customWidth="1"/>
    <col min="522" max="522" width="9.140625" style="1"/>
    <col min="523" max="523" width="23.140625" style="1" customWidth="1"/>
    <col min="524" max="524" width="9.140625" style="1"/>
    <col min="525" max="525" width="12.5703125" style="1" customWidth="1"/>
    <col min="526" max="765" width="9.140625" style="1"/>
    <col min="766" max="766" width="4.5703125" style="1" customWidth="1"/>
    <col min="767" max="767" width="60.7109375" style="1" customWidth="1"/>
    <col min="768" max="768" width="23.85546875" style="1" customWidth="1"/>
    <col min="769" max="770" width="21.140625" style="1" customWidth="1"/>
    <col min="771" max="771" width="20.42578125" style="1" customWidth="1"/>
    <col min="772" max="772" width="21" style="1" customWidth="1"/>
    <col min="773" max="773" width="20.85546875" style="1" customWidth="1"/>
    <col min="774" max="774" width="20.7109375" style="1" customWidth="1"/>
    <col min="775" max="775" width="18.85546875" style="1" customWidth="1"/>
    <col min="776" max="776" width="19.5703125" style="1" customWidth="1"/>
    <col min="777" max="777" width="18" style="1" customWidth="1"/>
    <col min="778" max="778" width="9.140625" style="1"/>
    <col min="779" max="779" width="23.140625" style="1" customWidth="1"/>
    <col min="780" max="780" width="9.140625" style="1"/>
    <col min="781" max="781" width="12.5703125" style="1" customWidth="1"/>
    <col min="782" max="1021" width="9.140625" style="1"/>
    <col min="1022" max="1022" width="4.5703125" style="1" customWidth="1"/>
    <col min="1023" max="1023" width="60.7109375" style="1" customWidth="1"/>
    <col min="1024" max="1024" width="23.85546875" style="1" customWidth="1"/>
    <col min="1025" max="1026" width="21.140625" style="1" customWidth="1"/>
    <col min="1027" max="1027" width="20.42578125" style="1" customWidth="1"/>
    <col min="1028" max="1028" width="21" style="1" customWidth="1"/>
    <col min="1029" max="1029" width="20.85546875" style="1" customWidth="1"/>
    <col min="1030" max="1030" width="20.7109375" style="1" customWidth="1"/>
    <col min="1031" max="1031" width="18.85546875" style="1" customWidth="1"/>
    <col min="1032" max="1032" width="19.5703125" style="1" customWidth="1"/>
    <col min="1033" max="1033" width="18" style="1" customWidth="1"/>
    <col min="1034" max="1034" width="9.140625" style="1"/>
    <col min="1035" max="1035" width="23.140625" style="1" customWidth="1"/>
    <col min="1036" max="1036" width="9.140625" style="1"/>
    <col min="1037" max="1037" width="12.5703125" style="1" customWidth="1"/>
    <col min="1038" max="1277" width="9.140625" style="1"/>
    <col min="1278" max="1278" width="4.5703125" style="1" customWidth="1"/>
    <col min="1279" max="1279" width="60.7109375" style="1" customWidth="1"/>
    <col min="1280" max="1280" width="23.85546875" style="1" customWidth="1"/>
    <col min="1281" max="1282" width="21.140625" style="1" customWidth="1"/>
    <col min="1283" max="1283" width="20.42578125" style="1" customWidth="1"/>
    <col min="1284" max="1284" width="21" style="1" customWidth="1"/>
    <col min="1285" max="1285" width="20.85546875" style="1" customWidth="1"/>
    <col min="1286" max="1286" width="20.7109375" style="1" customWidth="1"/>
    <col min="1287" max="1287" width="18.85546875" style="1" customWidth="1"/>
    <col min="1288" max="1288" width="19.5703125" style="1" customWidth="1"/>
    <col min="1289" max="1289" width="18" style="1" customWidth="1"/>
    <col min="1290" max="1290" width="9.140625" style="1"/>
    <col min="1291" max="1291" width="23.140625" style="1" customWidth="1"/>
    <col min="1292" max="1292" width="9.140625" style="1"/>
    <col min="1293" max="1293" width="12.5703125" style="1" customWidth="1"/>
    <col min="1294" max="1533" width="9.140625" style="1"/>
    <col min="1534" max="1534" width="4.5703125" style="1" customWidth="1"/>
    <col min="1535" max="1535" width="60.7109375" style="1" customWidth="1"/>
    <col min="1536" max="1536" width="23.85546875" style="1" customWidth="1"/>
    <col min="1537" max="1538" width="21.140625" style="1" customWidth="1"/>
    <col min="1539" max="1539" width="20.42578125" style="1" customWidth="1"/>
    <col min="1540" max="1540" width="21" style="1" customWidth="1"/>
    <col min="1541" max="1541" width="20.85546875" style="1" customWidth="1"/>
    <col min="1542" max="1542" width="20.7109375" style="1" customWidth="1"/>
    <col min="1543" max="1543" width="18.85546875" style="1" customWidth="1"/>
    <col min="1544" max="1544" width="19.5703125" style="1" customWidth="1"/>
    <col min="1545" max="1545" width="18" style="1" customWidth="1"/>
    <col min="1546" max="1546" width="9.140625" style="1"/>
    <col min="1547" max="1547" width="23.140625" style="1" customWidth="1"/>
    <col min="1548" max="1548" width="9.140625" style="1"/>
    <col min="1549" max="1549" width="12.5703125" style="1" customWidth="1"/>
    <col min="1550" max="1789" width="9.140625" style="1"/>
    <col min="1790" max="1790" width="4.5703125" style="1" customWidth="1"/>
    <col min="1791" max="1791" width="60.7109375" style="1" customWidth="1"/>
    <col min="1792" max="1792" width="23.85546875" style="1" customWidth="1"/>
    <col min="1793" max="1794" width="21.140625" style="1" customWidth="1"/>
    <col min="1795" max="1795" width="20.42578125" style="1" customWidth="1"/>
    <col min="1796" max="1796" width="21" style="1" customWidth="1"/>
    <col min="1797" max="1797" width="20.85546875" style="1" customWidth="1"/>
    <col min="1798" max="1798" width="20.7109375" style="1" customWidth="1"/>
    <col min="1799" max="1799" width="18.85546875" style="1" customWidth="1"/>
    <col min="1800" max="1800" width="19.5703125" style="1" customWidth="1"/>
    <col min="1801" max="1801" width="18" style="1" customWidth="1"/>
    <col min="1802" max="1802" width="9.140625" style="1"/>
    <col min="1803" max="1803" width="23.140625" style="1" customWidth="1"/>
    <col min="1804" max="1804" width="9.140625" style="1"/>
    <col min="1805" max="1805" width="12.5703125" style="1" customWidth="1"/>
    <col min="1806" max="2045" width="9.140625" style="1"/>
    <col min="2046" max="2046" width="4.5703125" style="1" customWidth="1"/>
    <col min="2047" max="2047" width="60.7109375" style="1" customWidth="1"/>
    <col min="2048" max="2048" width="23.85546875" style="1" customWidth="1"/>
    <col min="2049" max="2050" width="21.140625" style="1" customWidth="1"/>
    <col min="2051" max="2051" width="20.42578125" style="1" customWidth="1"/>
    <col min="2052" max="2052" width="21" style="1" customWidth="1"/>
    <col min="2053" max="2053" width="20.85546875" style="1" customWidth="1"/>
    <col min="2054" max="2054" width="20.7109375" style="1" customWidth="1"/>
    <col min="2055" max="2055" width="18.85546875" style="1" customWidth="1"/>
    <col min="2056" max="2056" width="19.5703125" style="1" customWidth="1"/>
    <col min="2057" max="2057" width="18" style="1" customWidth="1"/>
    <col min="2058" max="2058" width="9.140625" style="1"/>
    <col min="2059" max="2059" width="23.140625" style="1" customWidth="1"/>
    <col min="2060" max="2060" width="9.140625" style="1"/>
    <col min="2061" max="2061" width="12.5703125" style="1" customWidth="1"/>
    <col min="2062" max="2301" width="9.140625" style="1"/>
    <col min="2302" max="2302" width="4.5703125" style="1" customWidth="1"/>
    <col min="2303" max="2303" width="60.7109375" style="1" customWidth="1"/>
    <col min="2304" max="2304" width="23.85546875" style="1" customWidth="1"/>
    <col min="2305" max="2306" width="21.140625" style="1" customWidth="1"/>
    <col min="2307" max="2307" width="20.42578125" style="1" customWidth="1"/>
    <col min="2308" max="2308" width="21" style="1" customWidth="1"/>
    <col min="2309" max="2309" width="20.85546875" style="1" customWidth="1"/>
    <col min="2310" max="2310" width="20.7109375" style="1" customWidth="1"/>
    <col min="2311" max="2311" width="18.85546875" style="1" customWidth="1"/>
    <col min="2312" max="2312" width="19.5703125" style="1" customWidth="1"/>
    <col min="2313" max="2313" width="18" style="1" customWidth="1"/>
    <col min="2314" max="2314" width="9.140625" style="1"/>
    <col min="2315" max="2315" width="23.140625" style="1" customWidth="1"/>
    <col min="2316" max="2316" width="9.140625" style="1"/>
    <col min="2317" max="2317" width="12.5703125" style="1" customWidth="1"/>
    <col min="2318" max="2557" width="9.140625" style="1"/>
    <col min="2558" max="2558" width="4.5703125" style="1" customWidth="1"/>
    <col min="2559" max="2559" width="60.7109375" style="1" customWidth="1"/>
    <col min="2560" max="2560" width="23.85546875" style="1" customWidth="1"/>
    <col min="2561" max="2562" width="21.140625" style="1" customWidth="1"/>
    <col min="2563" max="2563" width="20.42578125" style="1" customWidth="1"/>
    <col min="2564" max="2564" width="21" style="1" customWidth="1"/>
    <col min="2565" max="2565" width="20.85546875" style="1" customWidth="1"/>
    <col min="2566" max="2566" width="20.7109375" style="1" customWidth="1"/>
    <col min="2567" max="2567" width="18.85546875" style="1" customWidth="1"/>
    <col min="2568" max="2568" width="19.5703125" style="1" customWidth="1"/>
    <col min="2569" max="2569" width="18" style="1" customWidth="1"/>
    <col min="2570" max="2570" width="9.140625" style="1"/>
    <col min="2571" max="2571" width="23.140625" style="1" customWidth="1"/>
    <col min="2572" max="2572" width="9.140625" style="1"/>
    <col min="2573" max="2573" width="12.5703125" style="1" customWidth="1"/>
    <col min="2574" max="2813" width="9.140625" style="1"/>
    <col min="2814" max="2814" width="4.5703125" style="1" customWidth="1"/>
    <col min="2815" max="2815" width="60.7109375" style="1" customWidth="1"/>
    <col min="2816" max="2816" width="23.85546875" style="1" customWidth="1"/>
    <col min="2817" max="2818" width="21.140625" style="1" customWidth="1"/>
    <col min="2819" max="2819" width="20.42578125" style="1" customWidth="1"/>
    <col min="2820" max="2820" width="21" style="1" customWidth="1"/>
    <col min="2821" max="2821" width="20.85546875" style="1" customWidth="1"/>
    <col min="2822" max="2822" width="20.7109375" style="1" customWidth="1"/>
    <col min="2823" max="2823" width="18.85546875" style="1" customWidth="1"/>
    <col min="2824" max="2824" width="19.5703125" style="1" customWidth="1"/>
    <col min="2825" max="2825" width="18" style="1" customWidth="1"/>
    <col min="2826" max="2826" width="9.140625" style="1"/>
    <col min="2827" max="2827" width="23.140625" style="1" customWidth="1"/>
    <col min="2828" max="2828" width="9.140625" style="1"/>
    <col min="2829" max="2829" width="12.5703125" style="1" customWidth="1"/>
    <col min="2830" max="3069" width="9.140625" style="1"/>
    <col min="3070" max="3070" width="4.5703125" style="1" customWidth="1"/>
    <col min="3071" max="3071" width="60.7109375" style="1" customWidth="1"/>
    <col min="3072" max="3072" width="23.85546875" style="1" customWidth="1"/>
    <col min="3073" max="3074" width="21.140625" style="1" customWidth="1"/>
    <col min="3075" max="3075" width="20.42578125" style="1" customWidth="1"/>
    <col min="3076" max="3076" width="21" style="1" customWidth="1"/>
    <col min="3077" max="3077" width="20.85546875" style="1" customWidth="1"/>
    <col min="3078" max="3078" width="20.7109375" style="1" customWidth="1"/>
    <col min="3079" max="3079" width="18.85546875" style="1" customWidth="1"/>
    <col min="3080" max="3080" width="19.5703125" style="1" customWidth="1"/>
    <col min="3081" max="3081" width="18" style="1" customWidth="1"/>
    <col min="3082" max="3082" width="9.140625" style="1"/>
    <col min="3083" max="3083" width="23.140625" style="1" customWidth="1"/>
    <col min="3084" max="3084" width="9.140625" style="1"/>
    <col min="3085" max="3085" width="12.5703125" style="1" customWidth="1"/>
    <col min="3086" max="3325" width="9.140625" style="1"/>
    <col min="3326" max="3326" width="4.5703125" style="1" customWidth="1"/>
    <col min="3327" max="3327" width="60.7109375" style="1" customWidth="1"/>
    <col min="3328" max="3328" width="23.85546875" style="1" customWidth="1"/>
    <col min="3329" max="3330" width="21.140625" style="1" customWidth="1"/>
    <col min="3331" max="3331" width="20.42578125" style="1" customWidth="1"/>
    <col min="3332" max="3332" width="21" style="1" customWidth="1"/>
    <col min="3333" max="3333" width="20.85546875" style="1" customWidth="1"/>
    <col min="3334" max="3334" width="20.7109375" style="1" customWidth="1"/>
    <col min="3335" max="3335" width="18.85546875" style="1" customWidth="1"/>
    <col min="3336" max="3336" width="19.5703125" style="1" customWidth="1"/>
    <col min="3337" max="3337" width="18" style="1" customWidth="1"/>
    <col min="3338" max="3338" width="9.140625" style="1"/>
    <col min="3339" max="3339" width="23.140625" style="1" customWidth="1"/>
    <col min="3340" max="3340" width="9.140625" style="1"/>
    <col min="3341" max="3341" width="12.5703125" style="1" customWidth="1"/>
    <col min="3342" max="3581" width="9.140625" style="1"/>
    <col min="3582" max="3582" width="4.5703125" style="1" customWidth="1"/>
    <col min="3583" max="3583" width="60.7109375" style="1" customWidth="1"/>
    <col min="3584" max="3584" width="23.85546875" style="1" customWidth="1"/>
    <col min="3585" max="3586" width="21.140625" style="1" customWidth="1"/>
    <col min="3587" max="3587" width="20.42578125" style="1" customWidth="1"/>
    <col min="3588" max="3588" width="21" style="1" customWidth="1"/>
    <col min="3589" max="3589" width="20.85546875" style="1" customWidth="1"/>
    <col min="3590" max="3590" width="20.7109375" style="1" customWidth="1"/>
    <col min="3591" max="3591" width="18.85546875" style="1" customWidth="1"/>
    <col min="3592" max="3592" width="19.5703125" style="1" customWidth="1"/>
    <col min="3593" max="3593" width="18" style="1" customWidth="1"/>
    <col min="3594" max="3594" width="9.140625" style="1"/>
    <col min="3595" max="3595" width="23.140625" style="1" customWidth="1"/>
    <col min="3596" max="3596" width="9.140625" style="1"/>
    <col min="3597" max="3597" width="12.5703125" style="1" customWidth="1"/>
    <col min="3598" max="3837" width="9.140625" style="1"/>
    <col min="3838" max="3838" width="4.5703125" style="1" customWidth="1"/>
    <col min="3839" max="3839" width="60.7109375" style="1" customWidth="1"/>
    <col min="3840" max="3840" width="23.85546875" style="1" customWidth="1"/>
    <col min="3841" max="3842" width="21.140625" style="1" customWidth="1"/>
    <col min="3843" max="3843" width="20.42578125" style="1" customWidth="1"/>
    <col min="3844" max="3844" width="21" style="1" customWidth="1"/>
    <col min="3845" max="3845" width="20.85546875" style="1" customWidth="1"/>
    <col min="3846" max="3846" width="20.7109375" style="1" customWidth="1"/>
    <col min="3847" max="3847" width="18.85546875" style="1" customWidth="1"/>
    <col min="3848" max="3848" width="19.5703125" style="1" customWidth="1"/>
    <col min="3849" max="3849" width="18" style="1" customWidth="1"/>
    <col min="3850" max="3850" width="9.140625" style="1"/>
    <col min="3851" max="3851" width="23.140625" style="1" customWidth="1"/>
    <col min="3852" max="3852" width="9.140625" style="1"/>
    <col min="3853" max="3853" width="12.5703125" style="1" customWidth="1"/>
    <col min="3854" max="4093" width="9.140625" style="1"/>
    <col min="4094" max="4094" width="4.5703125" style="1" customWidth="1"/>
    <col min="4095" max="4095" width="60.7109375" style="1" customWidth="1"/>
    <col min="4096" max="4096" width="23.85546875" style="1" customWidth="1"/>
    <col min="4097" max="4098" width="21.140625" style="1" customWidth="1"/>
    <col min="4099" max="4099" width="20.42578125" style="1" customWidth="1"/>
    <col min="4100" max="4100" width="21" style="1" customWidth="1"/>
    <col min="4101" max="4101" width="20.85546875" style="1" customWidth="1"/>
    <col min="4102" max="4102" width="20.7109375" style="1" customWidth="1"/>
    <col min="4103" max="4103" width="18.85546875" style="1" customWidth="1"/>
    <col min="4104" max="4104" width="19.5703125" style="1" customWidth="1"/>
    <col min="4105" max="4105" width="18" style="1" customWidth="1"/>
    <col min="4106" max="4106" width="9.140625" style="1"/>
    <col min="4107" max="4107" width="23.140625" style="1" customWidth="1"/>
    <col min="4108" max="4108" width="9.140625" style="1"/>
    <col min="4109" max="4109" width="12.5703125" style="1" customWidth="1"/>
    <col min="4110" max="4349" width="9.140625" style="1"/>
    <col min="4350" max="4350" width="4.5703125" style="1" customWidth="1"/>
    <col min="4351" max="4351" width="60.7109375" style="1" customWidth="1"/>
    <col min="4352" max="4352" width="23.85546875" style="1" customWidth="1"/>
    <col min="4353" max="4354" width="21.140625" style="1" customWidth="1"/>
    <col min="4355" max="4355" width="20.42578125" style="1" customWidth="1"/>
    <col min="4356" max="4356" width="21" style="1" customWidth="1"/>
    <col min="4357" max="4357" width="20.85546875" style="1" customWidth="1"/>
    <col min="4358" max="4358" width="20.7109375" style="1" customWidth="1"/>
    <col min="4359" max="4359" width="18.85546875" style="1" customWidth="1"/>
    <col min="4360" max="4360" width="19.5703125" style="1" customWidth="1"/>
    <col min="4361" max="4361" width="18" style="1" customWidth="1"/>
    <col min="4362" max="4362" width="9.140625" style="1"/>
    <col min="4363" max="4363" width="23.140625" style="1" customWidth="1"/>
    <col min="4364" max="4364" width="9.140625" style="1"/>
    <col min="4365" max="4365" width="12.5703125" style="1" customWidth="1"/>
    <col min="4366" max="4605" width="9.140625" style="1"/>
    <col min="4606" max="4606" width="4.5703125" style="1" customWidth="1"/>
    <col min="4607" max="4607" width="60.7109375" style="1" customWidth="1"/>
    <col min="4608" max="4608" width="23.85546875" style="1" customWidth="1"/>
    <col min="4609" max="4610" width="21.140625" style="1" customWidth="1"/>
    <col min="4611" max="4611" width="20.42578125" style="1" customWidth="1"/>
    <col min="4612" max="4612" width="21" style="1" customWidth="1"/>
    <col min="4613" max="4613" width="20.85546875" style="1" customWidth="1"/>
    <col min="4614" max="4614" width="20.7109375" style="1" customWidth="1"/>
    <col min="4615" max="4615" width="18.85546875" style="1" customWidth="1"/>
    <col min="4616" max="4616" width="19.5703125" style="1" customWidth="1"/>
    <col min="4617" max="4617" width="18" style="1" customWidth="1"/>
    <col min="4618" max="4618" width="9.140625" style="1"/>
    <col min="4619" max="4619" width="23.140625" style="1" customWidth="1"/>
    <col min="4620" max="4620" width="9.140625" style="1"/>
    <col min="4621" max="4621" width="12.5703125" style="1" customWidth="1"/>
    <col min="4622" max="4861" width="9.140625" style="1"/>
    <col min="4862" max="4862" width="4.5703125" style="1" customWidth="1"/>
    <col min="4863" max="4863" width="60.7109375" style="1" customWidth="1"/>
    <col min="4864" max="4864" width="23.85546875" style="1" customWidth="1"/>
    <col min="4865" max="4866" width="21.140625" style="1" customWidth="1"/>
    <col min="4867" max="4867" width="20.42578125" style="1" customWidth="1"/>
    <col min="4868" max="4868" width="21" style="1" customWidth="1"/>
    <col min="4869" max="4869" width="20.85546875" style="1" customWidth="1"/>
    <col min="4870" max="4870" width="20.7109375" style="1" customWidth="1"/>
    <col min="4871" max="4871" width="18.85546875" style="1" customWidth="1"/>
    <col min="4872" max="4872" width="19.5703125" style="1" customWidth="1"/>
    <col min="4873" max="4873" width="18" style="1" customWidth="1"/>
    <col min="4874" max="4874" width="9.140625" style="1"/>
    <col min="4875" max="4875" width="23.140625" style="1" customWidth="1"/>
    <col min="4876" max="4876" width="9.140625" style="1"/>
    <col min="4877" max="4877" width="12.5703125" style="1" customWidth="1"/>
    <col min="4878" max="5117" width="9.140625" style="1"/>
    <col min="5118" max="5118" width="4.5703125" style="1" customWidth="1"/>
    <col min="5119" max="5119" width="60.7109375" style="1" customWidth="1"/>
    <col min="5120" max="5120" width="23.85546875" style="1" customWidth="1"/>
    <col min="5121" max="5122" width="21.140625" style="1" customWidth="1"/>
    <col min="5123" max="5123" width="20.42578125" style="1" customWidth="1"/>
    <col min="5124" max="5124" width="21" style="1" customWidth="1"/>
    <col min="5125" max="5125" width="20.85546875" style="1" customWidth="1"/>
    <col min="5126" max="5126" width="20.7109375" style="1" customWidth="1"/>
    <col min="5127" max="5127" width="18.85546875" style="1" customWidth="1"/>
    <col min="5128" max="5128" width="19.5703125" style="1" customWidth="1"/>
    <col min="5129" max="5129" width="18" style="1" customWidth="1"/>
    <col min="5130" max="5130" width="9.140625" style="1"/>
    <col min="5131" max="5131" width="23.140625" style="1" customWidth="1"/>
    <col min="5132" max="5132" width="9.140625" style="1"/>
    <col min="5133" max="5133" width="12.5703125" style="1" customWidth="1"/>
    <col min="5134" max="5373" width="9.140625" style="1"/>
    <col min="5374" max="5374" width="4.5703125" style="1" customWidth="1"/>
    <col min="5375" max="5375" width="60.7109375" style="1" customWidth="1"/>
    <col min="5376" max="5376" width="23.85546875" style="1" customWidth="1"/>
    <col min="5377" max="5378" width="21.140625" style="1" customWidth="1"/>
    <col min="5379" max="5379" width="20.42578125" style="1" customWidth="1"/>
    <col min="5380" max="5380" width="21" style="1" customWidth="1"/>
    <col min="5381" max="5381" width="20.85546875" style="1" customWidth="1"/>
    <col min="5382" max="5382" width="20.7109375" style="1" customWidth="1"/>
    <col min="5383" max="5383" width="18.85546875" style="1" customWidth="1"/>
    <col min="5384" max="5384" width="19.5703125" style="1" customWidth="1"/>
    <col min="5385" max="5385" width="18" style="1" customWidth="1"/>
    <col min="5386" max="5386" width="9.140625" style="1"/>
    <col min="5387" max="5387" width="23.140625" style="1" customWidth="1"/>
    <col min="5388" max="5388" width="9.140625" style="1"/>
    <col min="5389" max="5389" width="12.5703125" style="1" customWidth="1"/>
    <col min="5390" max="5629" width="9.140625" style="1"/>
    <col min="5630" max="5630" width="4.5703125" style="1" customWidth="1"/>
    <col min="5631" max="5631" width="60.7109375" style="1" customWidth="1"/>
    <col min="5632" max="5632" width="23.85546875" style="1" customWidth="1"/>
    <col min="5633" max="5634" width="21.140625" style="1" customWidth="1"/>
    <col min="5635" max="5635" width="20.42578125" style="1" customWidth="1"/>
    <col min="5636" max="5636" width="21" style="1" customWidth="1"/>
    <col min="5637" max="5637" width="20.85546875" style="1" customWidth="1"/>
    <col min="5638" max="5638" width="20.7109375" style="1" customWidth="1"/>
    <col min="5639" max="5639" width="18.85546875" style="1" customWidth="1"/>
    <col min="5640" max="5640" width="19.5703125" style="1" customWidth="1"/>
    <col min="5641" max="5641" width="18" style="1" customWidth="1"/>
    <col min="5642" max="5642" width="9.140625" style="1"/>
    <col min="5643" max="5643" width="23.140625" style="1" customWidth="1"/>
    <col min="5644" max="5644" width="9.140625" style="1"/>
    <col min="5645" max="5645" width="12.5703125" style="1" customWidth="1"/>
    <col min="5646" max="5885" width="9.140625" style="1"/>
    <col min="5886" max="5886" width="4.5703125" style="1" customWidth="1"/>
    <col min="5887" max="5887" width="60.7109375" style="1" customWidth="1"/>
    <col min="5888" max="5888" width="23.85546875" style="1" customWidth="1"/>
    <col min="5889" max="5890" width="21.140625" style="1" customWidth="1"/>
    <col min="5891" max="5891" width="20.42578125" style="1" customWidth="1"/>
    <col min="5892" max="5892" width="21" style="1" customWidth="1"/>
    <col min="5893" max="5893" width="20.85546875" style="1" customWidth="1"/>
    <col min="5894" max="5894" width="20.7109375" style="1" customWidth="1"/>
    <col min="5895" max="5895" width="18.85546875" style="1" customWidth="1"/>
    <col min="5896" max="5896" width="19.5703125" style="1" customWidth="1"/>
    <col min="5897" max="5897" width="18" style="1" customWidth="1"/>
    <col min="5898" max="5898" width="9.140625" style="1"/>
    <col min="5899" max="5899" width="23.140625" style="1" customWidth="1"/>
    <col min="5900" max="5900" width="9.140625" style="1"/>
    <col min="5901" max="5901" width="12.5703125" style="1" customWidth="1"/>
    <col min="5902" max="6141" width="9.140625" style="1"/>
    <col min="6142" max="6142" width="4.5703125" style="1" customWidth="1"/>
    <col min="6143" max="6143" width="60.7109375" style="1" customWidth="1"/>
    <col min="6144" max="6144" width="23.85546875" style="1" customWidth="1"/>
    <col min="6145" max="6146" width="21.140625" style="1" customWidth="1"/>
    <col min="6147" max="6147" width="20.42578125" style="1" customWidth="1"/>
    <col min="6148" max="6148" width="21" style="1" customWidth="1"/>
    <col min="6149" max="6149" width="20.85546875" style="1" customWidth="1"/>
    <col min="6150" max="6150" width="20.7109375" style="1" customWidth="1"/>
    <col min="6151" max="6151" width="18.85546875" style="1" customWidth="1"/>
    <col min="6152" max="6152" width="19.5703125" style="1" customWidth="1"/>
    <col min="6153" max="6153" width="18" style="1" customWidth="1"/>
    <col min="6154" max="6154" width="9.140625" style="1"/>
    <col min="6155" max="6155" width="23.140625" style="1" customWidth="1"/>
    <col min="6156" max="6156" width="9.140625" style="1"/>
    <col min="6157" max="6157" width="12.5703125" style="1" customWidth="1"/>
    <col min="6158" max="6397" width="9.140625" style="1"/>
    <col min="6398" max="6398" width="4.5703125" style="1" customWidth="1"/>
    <col min="6399" max="6399" width="60.7109375" style="1" customWidth="1"/>
    <col min="6400" max="6400" width="23.85546875" style="1" customWidth="1"/>
    <col min="6401" max="6402" width="21.140625" style="1" customWidth="1"/>
    <col min="6403" max="6403" width="20.42578125" style="1" customWidth="1"/>
    <col min="6404" max="6404" width="21" style="1" customWidth="1"/>
    <col min="6405" max="6405" width="20.85546875" style="1" customWidth="1"/>
    <col min="6406" max="6406" width="20.7109375" style="1" customWidth="1"/>
    <col min="6407" max="6407" width="18.85546875" style="1" customWidth="1"/>
    <col min="6408" max="6408" width="19.5703125" style="1" customWidth="1"/>
    <col min="6409" max="6409" width="18" style="1" customWidth="1"/>
    <col min="6410" max="6410" width="9.140625" style="1"/>
    <col min="6411" max="6411" width="23.140625" style="1" customWidth="1"/>
    <col min="6412" max="6412" width="9.140625" style="1"/>
    <col min="6413" max="6413" width="12.5703125" style="1" customWidth="1"/>
    <col min="6414" max="6653" width="9.140625" style="1"/>
    <col min="6654" max="6654" width="4.5703125" style="1" customWidth="1"/>
    <col min="6655" max="6655" width="60.7109375" style="1" customWidth="1"/>
    <col min="6656" max="6656" width="23.85546875" style="1" customWidth="1"/>
    <col min="6657" max="6658" width="21.140625" style="1" customWidth="1"/>
    <col min="6659" max="6659" width="20.42578125" style="1" customWidth="1"/>
    <col min="6660" max="6660" width="21" style="1" customWidth="1"/>
    <col min="6661" max="6661" width="20.85546875" style="1" customWidth="1"/>
    <col min="6662" max="6662" width="20.7109375" style="1" customWidth="1"/>
    <col min="6663" max="6663" width="18.85546875" style="1" customWidth="1"/>
    <col min="6664" max="6664" width="19.5703125" style="1" customWidth="1"/>
    <col min="6665" max="6665" width="18" style="1" customWidth="1"/>
    <col min="6666" max="6666" width="9.140625" style="1"/>
    <col min="6667" max="6667" width="23.140625" style="1" customWidth="1"/>
    <col min="6668" max="6668" width="9.140625" style="1"/>
    <col min="6669" max="6669" width="12.5703125" style="1" customWidth="1"/>
    <col min="6670" max="6909" width="9.140625" style="1"/>
    <col min="6910" max="6910" width="4.5703125" style="1" customWidth="1"/>
    <col min="6911" max="6911" width="60.7109375" style="1" customWidth="1"/>
    <col min="6912" max="6912" width="23.85546875" style="1" customWidth="1"/>
    <col min="6913" max="6914" width="21.140625" style="1" customWidth="1"/>
    <col min="6915" max="6915" width="20.42578125" style="1" customWidth="1"/>
    <col min="6916" max="6916" width="21" style="1" customWidth="1"/>
    <col min="6917" max="6917" width="20.85546875" style="1" customWidth="1"/>
    <col min="6918" max="6918" width="20.7109375" style="1" customWidth="1"/>
    <col min="6919" max="6919" width="18.85546875" style="1" customWidth="1"/>
    <col min="6920" max="6920" width="19.5703125" style="1" customWidth="1"/>
    <col min="6921" max="6921" width="18" style="1" customWidth="1"/>
    <col min="6922" max="6922" width="9.140625" style="1"/>
    <col min="6923" max="6923" width="23.140625" style="1" customWidth="1"/>
    <col min="6924" max="6924" width="9.140625" style="1"/>
    <col min="6925" max="6925" width="12.5703125" style="1" customWidth="1"/>
    <col min="6926" max="7165" width="9.140625" style="1"/>
    <col min="7166" max="7166" width="4.5703125" style="1" customWidth="1"/>
    <col min="7167" max="7167" width="60.7109375" style="1" customWidth="1"/>
    <col min="7168" max="7168" width="23.85546875" style="1" customWidth="1"/>
    <col min="7169" max="7170" width="21.140625" style="1" customWidth="1"/>
    <col min="7171" max="7171" width="20.42578125" style="1" customWidth="1"/>
    <col min="7172" max="7172" width="21" style="1" customWidth="1"/>
    <col min="7173" max="7173" width="20.85546875" style="1" customWidth="1"/>
    <col min="7174" max="7174" width="20.7109375" style="1" customWidth="1"/>
    <col min="7175" max="7175" width="18.85546875" style="1" customWidth="1"/>
    <col min="7176" max="7176" width="19.5703125" style="1" customWidth="1"/>
    <col min="7177" max="7177" width="18" style="1" customWidth="1"/>
    <col min="7178" max="7178" width="9.140625" style="1"/>
    <col min="7179" max="7179" width="23.140625" style="1" customWidth="1"/>
    <col min="7180" max="7180" width="9.140625" style="1"/>
    <col min="7181" max="7181" width="12.5703125" style="1" customWidth="1"/>
    <col min="7182" max="7421" width="9.140625" style="1"/>
    <col min="7422" max="7422" width="4.5703125" style="1" customWidth="1"/>
    <col min="7423" max="7423" width="60.7109375" style="1" customWidth="1"/>
    <col min="7424" max="7424" width="23.85546875" style="1" customWidth="1"/>
    <col min="7425" max="7426" width="21.140625" style="1" customWidth="1"/>
    <col min="7427" max="7427" width="20.42578125" style="1" customWidth="1"/>
    <col min="7428" max="7428" width="21" style="1" customWidth="1"/>
    <col min="7429" max="7429" width="20.85546875" style="1" customWidth="1"/>
    <col min="7430" max="7430" width="20.7109375" style="1" customWidth="1"/>
    <col min="7431" max="7431" width="18.85546875" style="1" customWidth="1"/>
    <col min="7432" max="7432" width="19.5703125" style="1" customWidth="1"/>
    <col min="7433" max="7433" width="18" style="1" customWidth="1"/>
    <col min="7434" max="7434" width="9.140625" style="1"/>
    <col min="7435" max="7435" width="23.140625" style="1" customWidth="1"/>
    <col min="7436" max="7436" width="9.140625" style="1"/>
    <col min="7437" max="7437" width="12.5703125" style="1" customWidth="1"/>
    <col min="7438" max="7677" width="9.140625" style="1"/>
    <col min="7678" max="7678" width="4.5703125" style="1" customWidth="1"/>
    <col min="7679" max="7679" width="60.7109375" style="1" customWidth="1"/>
    <col min="7680" max="7680" width="23.85546875" style="1" customWidth="1"/>
    <col min="7681" max="7682" width="21.140625" style="1" customWidth="1"/>
    <col min="7683" max="7683" width="20.42578125" style="1" customWidth="1"/>
    <col min="7684" max="7684" width="21" style="1" customWidth="1"/>
    <col min="7685" max="7685" width="20.85546875" style="1" customWidth="1"/>
    <col min="7686" max="7686" width="20.7109375" style="1" customWidth="1"/>
    <col min="7687" max="7687" width="18.85546875" style="1" customWidth="1"/>
    <col min="7688" max="7688" width="19.5703125" style="1" customWidth="1"/>
    <col min="7689" max="7689" width="18" style="1" customWidth="1"/>
    <col min="7690" max="7690" width="9.140625" style="1"/>
    <col min="7691" max="7691" width="23.140625" style="1" customWidth="1"/>
    <col min="7692" max="7692" width="9.140625" style="1"/>
    <col min="7693" max="7693" width="12.5703125" style="1" customWidth="1"/>
    <col min="7694" max="7933" width="9.140625" style="1"/>
    <col min="7934" max="7934" width="4.5703125" style="1" customWidth="1"/>
    <col min="7935" max="7935" width="60.7109375" style="1" customWidth="1"/>
    <col min="7936" max="7936" width="23.85546875" style="1" customWidth="1"/>
    <col min="7937" max="7938" width="21.140625" style="1" customWidth="1"/>
    <col min="7939" max="7939" width="20.42578125" style="1" customWidth="1"/>
    <col min="7940" max="7940" width="21" style="1" customWidth="1"/>
    <col min="7941" max="7941" width="20.85546875" style="1" customWidth="1"/>
    <col min="7942" max="7942" width="20.7109375" style="1" customWidth="1"/>
    <col min="7943" max="7943" width="18.85546875" style="1" customWidth="1"/>
    <col min="7944" max="7944" width="19.5703125" style="1" customWidth="1"/>
    <col min="7945" max="7945" width="18" style="1" customWidth="1"/>
    <col min="7946" max="7946" width="9.140625" style="1"/>
    <col min="7947" max="7947" width="23.140625" style="1" customWidth="1"/>
    <col min="7948" max="7948" width="9.140625" style="1"/>
    <col min="7949" max="7949" width="12.5703125" style="1" customWidth="1"/>
    <col min="7950" max="8189" width="9.140625" style="1"/>
    <col min="8190" max="8190" width="4.5703125" style="1" customWidth="1"/>
    <col min="8191" max="8191" width="60.7109375" style="1" customWidth="1"/>
    <col min="8192" max="8192" width="23.85546875" style="1" customWidth="1"/>
    <col min="8193" max="8194" width="21.140625" style="1" customWidth="1"/>
    <col min="8195" max="8195" width="20.42578125" style="1" customWidth="1"/>
    <col min="8196" max="8196" width="21" style="1" customWidth="1"/>
    <col min="8197" max="8197" width="20.85546875" style="1" customWidth="1"/>
    <col min="8198" max="8198" width="20.7109375" style="1" customWidth="1"/>
    <col min="8199" max="8199" width="18.85546875" style="1" customWidth="1"/>
    <col min="8200" max="8200" width="19.5703125" style="1" customWidth="1"/>
    <col min="8201" max="8201" width="18" style="1" customWidth="1"/>
    <col min="8202" max="8202" width="9.140625" style="1"/>
    <col min="8203" max="8203" width="23.140625" style="1" customWidth="1"/>
    <col min="8204" max="8204" width="9.140625" style="1"/>
    <col min="8205" max="8205" width="12.5703125" style="1" customWidth="1"/>
    <col min="8206" max="8445" width="9.140625" style="1"/>
    <col min="8446" max="8446" width="4.5703125" style="1" customWidth="1"/>
    <col min="8447" max="8447" width="60.7109375" style="1" customWidth="1"/>
    <col min="8448" max="8448" width="23.85546875" style="1" customWidth="1"/>
    <col min="8449" max="8450" width="21.140625" style="1" customWidth="1"/>
    <col min="8451" max="8451" width="20.42578125" style="1" customWidth="1"/>
    <col min="8452" max="8452" width="21" style="1" customWidth="1"/>
    <col min="8453" max="8453" width="20.85546875" style="1" customWidth="1"/>
    <col min="8454" max="8454" width="20.7109375" style="1" customWidth="1"/>
    <col min="8455" max="8455" width="18.85546875" style="1" customWidth="1"/>
    <col min="8456" max="8456" width="19.5703125" style="1" customWidth="1"/>
    <col min="8457" max="8457" width="18" style="1" customWidth="1"/>
    <col min="8458" max="8458" width="9.140625" style="1"/>
    <col min="8459" max="8459" width="23.140625" style="1" customWidth="1"/>
    <col min="8460" max="8460" width="9.140625" style="1"/>
    <col min="8461" max="8461" width="12.5703125" style="1" customWidth="1"/>
    <col min="8462" max="8701" width="9.140625" style="1"/>
    <col min="8702" max="8702" width="4.5703125" style="1" customWidth="1"/>
    <col min="8703" max="8703" width="60.7109375" style="1" customWidth="1"/>
    <col min="8704" max="8704" width="23.85546875" style="1" customWidth="1"/>
    <col min="8705" max="8706" width="21.140625" style="1" customWidth="1"/>
    <col min="8707" max="8707" width="20.42578125" style="1" customWidth="1"/>
    <col min="8708" max="8708" width="21" style="1" customWidth="1"/>
    <col min="8709" max="8709" width="20.85546875" style="1" customWidth="1"/>
    <col min="8710" max="8710" width="20.7109375" style="1" customWidth="1"/>
    <col min="8711" max="8711" width="18.85546875" style="1" customWidth="1"/>
    <col min="8712" max="8712" width="19.5703125" style="1" customWidth="1"/>
    <col min="8713" max="8713" width="18" style="1" customWidth="1"/>
    <col min="8714" max="8714" width="9.140625" style="1"/>
    <col min="8715" max="8715" width="23.140625" style="1" customWidth="1"/>
    <col min="8716" max="8716" width="9.140625" style="1"/>
    <col min="8717" max="8717" width="12.5703125" style="1" customWidth="1"/>
    <col min="8718" max="8957" width="9.140625" style="1"/>
    <col min="8958" max="8958" width="4.5703125" style="1" customWidth="1"/>
    <col min="8959" max="8959" width="60.7109375" style="1" customWidth="1"/>
    <col min="8960" max="8960" width="23.85546875" style="1" customWidth="1"/>
    <col min="8961" max="8962" width="21.140625" style="1" customWidth="1"/>
    <col min="8963" max="8963" width="20.42578125" style="1" customWidth="1"/>
    <col min="8964" max="8964" width="21" style="1" customWidth="1"/>
    <col min="8965" max="8965" width="20.85546875" style="1" customWidth="1"/>
    <col min="8966" max="8966" width="20.7109375" style="1" customWidth="1"/>
    <col min="8967" max="8967" width="18.85546875" style="1" customWidth="1"/>
    <col min="8968" max="8968" width="19.5703125" style="1" customWidth="1"/>
    <col min="8969" max="8969" width="18" style="1" customWidth="1"/>
    <col min="8970" max="8970" width="9.140625" style="1"/>
    <col min="8971" max="8971" width="23.140625" style="1" customWidth="1"/>
    <col min="8972" max="8972" width="9.140625" style="1"/>
    <col min="8973" max="8973" width="12.5703125" style="1" customWidth="1"/>
    <col min="8974" max="9213" width="9.140625" style="1"/>
    <col min="9214" max="9214" width="4.5703125" style="1" customWidth="1"/>
    <col min="9215" max="9215" width="60.7109375" style="1" customWidth="1"/>
    <col min="9216" max="9216" width="23.85546875" style="1" customWidth="1"/>
    <col min="9217" max="9218" width="21.140625" style="1" customWidth="1"/>
    <col min="9219" max="9219" width="20.42578125" style="1" customWidth="1"/>
    <col min="9220" max="9220" width="21" style="1" customWidth="1"/>
    <col min="9221" max="9221" width="20.85546875" style="1" customWidth="1"/>
    <col min="9222" max="9222" width="20.7109375" style="1" customWidth="1"/>
    <col min="9223" max="9223" width="18.85546875" style="1" customWidth="1"/>
    <col min="9224" max="9224" width="19.5703125" style="1" customWidth="1"/>
    <col min="9225" max="9225" width="18" style="1" customWidth="1"/>
    <col min="9226" max="9226" width="9.140625" style="1"/>
    <col min="9227" max="9227" width="23.140625" style="1" customWidth="1"/>
    <col min="9228" max="9228" width="9.140625" style="1"/>
    <col min="9229" max="9229" width="12.5703125" style="1" customWidth="1"/>
    <col min="9230" max="9469" width="9.140625" style="1"/>
    <col min="9470" max="9470" width="4.5703125" style="1" customWidth="1"/>
    <col min="9471" max="9471" width="60.7109375" style="1" customWidth="1"/>
    <col min="9472" max="9472" width="23.85546875" style="1" customWidth="1"/>
    <col min="9473" max="9474" width="21.140625" style="1" customWidth="1"/>
    <col min="9475" max="9475" width="20.42578125" style="1" customWidth="1"/>
    <col min="9476" max="9476" width="21" style="1" customWidth="1"/>
    <col min="9477" max="9477" width="20.85546875" style="1" customWidth="1"/>
    <col min="9478" max="9478" width="20.7109375" style="1" customWidth="1"/>
    <col min="9479" max="9479" width="18.85546875" style="1" customWidth="1"/>
    <col min="9480" max="9480" width="19.5703125" style="1" customWidth="1"/>
    <col min="9481" max="9481" width="18" style="1" customWidth="1"/>
    <col min="9482" max="9482" width="9.140625" style="1"/>
    <col min="9483" max="9483" width="23.140625" style="1" customWidth="1"/>
    <col min="9484" max="9484" width="9.140625" style="1"/>
    <col min="9485" max="9485" width="12.5703125" style="1" customWidth="1"/>
    <col min="9486" max="9725" width="9.140625" style="1"/>
    <col min="9726" max="9726" width="4.5703125" style="1" customWidth="1"/>
    <col min="9727" max="9727" width="60.7109375" style="1" customWidth="1"/>
    <col min="9728" max="9728" width="23.85546875" style="1" customWidth="1"/>
    <col min="9729" max="9730" width="21.140625" style="1" customWidth="1"/>
    <col min="9731" max="9731" width="20.42578125" style="1" customWidth="1"/>
    <col min="9732" max="9732" width="21" style="1" customWidth="1"/>
    <col min="9733" max="9733" width="20.85546875" style="1" customWidth="1"/>
    <col min="9734" max="9734" width="20.7109375" style="1" customWidth="1"/>
    <col min="9735" max="9735" width="18.85546875" style="1" customWidth="1"/>
    <col min="9736" max="9736" width="19.5703125" style="1" customWidth="1"/>
    <col min="9737" max="9737" width="18" style="1" customWidth="1"/>
    <col min="9738" max="9738" width="9.140625" style="1"/>
    <col min="9739" max="9739" width="23.140625" style="1" customWidth="1"/>
    <col min="9740" max="9740" width="9.140625" style="1"/>
    <col min="9741" max="9741" width="12.5703125" style="1" customWidth="1"/>
    <col min="9742" max="9981" width="9.140625" style="1"/>
    <col min="9982" max="9982" width="4.5703125" style="1" customWidth="1"/>
    <col min="9983" max="9983" width="60.7109375" style="1" customWidth="1"/>
    <col min="9984" max="9984" width="23.85546875" style="1" customWidth="1"/>
    <col min="9985" max="9986" width="21.140625" style="1" customWidth="1"/>
    <col min="9987" max="9987" width="20.42578125" style="1" customWidth="1"/>
    <col min="9988" max="9988" width="21" style="1" customWidth="1"/>
    <col min="9989" max="9989" width="20.85546875" style="1" customWidth="1"/>
    <col min="9990" max="9990" width="20.7109375" style="1" customWidth="1"/>
    <col min="9991" max="9991" width="18.85546875" style="1" customWidth="1"/>
    <col min="9992" max="9992" width="19.5703125" style="1" customWidth="1"/>
    <col min="9993" max="9993" width="18" style="1" customWidth="1"/>
    <col min="9994" max="9994" width="9.140625" style="1"/>
    <col min="9995" max="9995" width="23.140625" style="1" customWidth="1"/>
    <col min="9996" max="9996" width="9.140625" style="1"/>
    <col min="9997" max="9997" width="12.5703125" style="1" customWidth="1"/>
    <col min="9998" max="10237" width="9.140625" style="1"/>
    <col min="10238" max="10238" width="4.5703125" style="1" customWidth="1"/>
    <col min="10239" max="10239" width="60.7109375" style="1" customWidth="1"/>
    <col min="10240" max="10240" width="23.85546875" style="1" customWidth="1"/>
    <col min="10241" max="10242" width="21.140625" style="1" customWidth="1"/>
    <col min="10243" max="10243" width="20.42578125" style="1" customWidth="1"/>
    <col min="10244" max="10244" width="21" style="1" customWidth="1"/>
    <col min="10245" max="10245" width="20.85546875" style="1" customWidth="1"/>
    <col min="10246" max="10246" width="20.7109375" style="1" customWidth="1"/>
    <col min="10247" max="10247" width="18.85546875" style="1" customWidth="1"/>
    <col min="10248" max="10248" width="19.5703125" style="1" customWidth="1"/>
    <col min="10249" max="10249" width="18" style="1" customWidth="1"/>
    <col min="10250" max="10250" width="9.140625" style="1"/>
    <col min="10251" max="10251" width="23.140625" style="1" customWidth="1"/>
    <col min="10252" max="10252" width="9.140625" style="1"/>
    <col min="10253" max="10253" width="12.5703125" style="1" customWidth="1"/>
    <col min="10254" max="10493" width="9.140625" style="1"/>
    <col min="10494" max="10494" width="4.5703125" style="1" customWidth="1"/>
    <col min="10495" max="10495" width="60.7109375" style="1" customWidth="1"/>
    <col min="10496" max="10496" width="23.85546875" style="1" customWidth="1"/>
    <col min="10497" max="10498" width="21.140625" style="1" customWidth="1"/>
    <col min="10499" max="10499" width="20.42578125" style="1" customWidth="1"/>
    <col min="10500" max="10500" width="21" style="1" customWidth="1"/>
    <col min="10501" max="10501" width="20.85546875" style="1" customWidth="1"/>
    <col min="10502" max="10502" width="20.7109375" style="1" customWidth="1"/>
    <col min="10503" max="10503" width="18.85546875" style="1" customWidth="1"/>
    <col min="10504" max="10504" width="19.5703125" style="1" customWidth="1"/>
    <col min="10505" max="10505" width="18" style="1" customWidth="1"/>
    <col min="10506" max="10506" width="9.140625" style="1"/>
    <col min="10507" max="10507" width="23.140625" style="1" customWidth="1"/>
    <col min="10508" max="10508" width="9.140625" style="1"/>
    <col min="10509" max="10509" width="12.5703125" style="1" customWidth="1"/>
    <col min="10510" max="10749" width="9.140625" style="1"/>
    <col min="10750" max="10750" width="4.5703125" style="1" customWidth="1"/>
    <col min="10751" max="10751" width="60.7109375" style="1" customWidth="1"/>
    <col min="10752" max="10752" width="23.85546875" style="1" customWidth="1"/>
    <col min="10753" max="10754" width="21.140625" style="1" customWidth="1"/>
    <col min="10755" max="10755" width="20.42578125" style="1" customWidth="1"/>
    <col min="10756" max="10756" width="21" style="1" customWidth="1"/>
    <col min="10757" max="10757" width="20.85546875" style="1" customWidth="1"/>
    <col min="10758" max="10758" width="20.7109375" style="1" customWidth="1"/>
    <col min="10759" max="10759" width="18.85546875" style="1" customWidth="1"/>
    <col min="10760" max="10760" width="19.5703125" style="1" customWidth="1"/>
    <col min="10761" max="10761" width="18" style="1" customWidth="1"/>
    <col min="10762" max="10762" width="9.140625" style="1"/>
    <col min="10763" max="10763" width="23.140625" style="1" customWidth="1"/>
    <col min="10764" max="10764" width="9.140625" style="1"/>
    <col min="10765" max="10765" width="12.5703125" style="1" customWidth="1"/>
    <col min="10766" max="11005" width="9.140625" style="1"/>
    <col min="11006" max="11006" width="4.5703125" style="1" customWidth="1"/>
    <col min="11007" max="11007" width="60.7109375" style="1" customWidth="1"/>
    <col min="11008" max="11008" width="23.85546875" style="1" customWidth="1"/>
    <col min="11009" max="11010" width="21.140625" style="1" customWidth="1"/>
    <col min="11011" max="11011" width="20.42578125" style="1" customWidth="1"/>
    <col min="11012" max="11012" width="21" style="1" customWidth="1"/>
    <col min="11013" max="11013" width="20.85546875" style="1" customWidth="1"/>
    <col min="11014" max="11014" width="20.7109375" style="1" customWidth="1"/>
    <col min="11015" max="11015" width="18.85546875" style="1" customWidth="1"/>
    <col min="11016" max="11016" width="19.5703125" style="1" customWidth="1"/>
    <col min="11017" max="11017" width="18" style="1" customWidth="1"/>
    <col min="11018" max="11018" width="9.140625" style="1"/>
    <col min="11019" max="11019" width="23.140625" style="1" customWidth="1"/>
    <col min="11020" max="11020" width="9.140625" style="1"/>
    <col min="11021" max="11021" width="12.5703125" style="1" customWidth="1"/>
    <col min="11022" max="11261" width="9.140625" style="1"/>
    <col min="11262" max="11262" width="4.5703125" style="1" customWidth="1"/>
    <col min="11263" max="11263" width="60.7109375" style="1" customWidth="1"/>
    <col min="11264" max="11264" width="23.85546875" style="1" customWidth="1"/>
    <col min="11265" max="11266" width="21.140625" style="1" customWidth="1"/>
    <col min="11267" max="11267" width="20.42578125" style="1" customWidth="1"/>
    <col min="11268" max="11268" width="21" style="1" customWidth="1"/>
    <col min="11269" max="11269" width="20.85546875" style="1" customWidth="1"/>
    <col min="11270" max="11270" width="20.7109375" style="1" customWidth="1"/>
    <col min="11271" max="11271" width="18.85546875" style="1" customWidth="1"/>
    <col min="11272" max="11272" width="19.5703125" style="1" customWidth="1"/>
    <col min="11273" max="11273" width="18" style="1" customWidth="1"/>
    <col min="11274" max="11274" width="9.140625" style="1"/>
    <col min="11275" max="11275" width="23.140625" style="1" customWidth="1"/>
    <col min="11276" max="11276" width="9.140625" style="1"/>
    <col min="11277" max="11277" width="12.5703125" style="1" customWidth="1"/>
    <col min="11278" max="11517" width="9.140625" style="1"/>
    <col min="11518" max="11518" width="4.5703125" style="1" customWidth="1"/>
    <col min="11519" max="11519" width="60.7109375" style="1" customWidth="1"/>
    <col min="11520" max="11520" width="23.85546875" style="1" customWidth="1"/>
    <col min="11521" max="11522" width="21.140625" style="1" customWidth="1"/>
    <col min="11523" max="11523" width="20.42578125" style="1" customWidth="1"/>
    <col min="11524" max="11524" width="21" style="1" customWidth="1"/>
    <col min="11525" max="11525" width="20.85546875" style="1" customWidth="1"/>
    <col min="11526" max="11526" width="20.7109375" style="1" customWidth="1"/>
    <col min="11527" max="11527" width="18.85546875" style="1" customWidth="1"/>
    <col min="11528" max="11528" width="19.5703125" style="1" customWidth="1"/>
    <col min="11529" max="11529" width="18" style="1" customWidth="1"/>
    <col min="11530" max="11530" width="9.140625" style="1"/>
    <col min="11531" max="11531" width="23.140625" style="1" customWidth="1"/>
    <col min="11532" max="11532" width="9.140625" style="1"/>
    <col min="11533" max="11533" width="12.5703125" style="1" customWidth="1"/>
    <col min="11534" max="11773" width="9.140625" style="1"/>
    <col min="11774" max="11774" width="4.5703125" style="1" customWidth="1"/>
    <col min="11775" max="11775" width="60.7109375" style="1" customWidth="1"/>
    <col min="11776" max="11776" width="23.85546875" style="1" customWidth="1"/>
    <col min="11777" max="11778" width="21.140625" style="1" customWidth="1"/>
    <col min="11779" max="11779" width="20.42578125" style="1" customWidth="1"/>
    <col min="11780" max="11780" width="21" style="1" customWidth="1"/>
    <col min="11781" max="11781" width="20.85546875" style="1" customWidth="1"/>
    <col min="11782" max="11782" width="20.7109375" style="1" customWidth="1"/>
    <col min="11783" max="11783" width="18.85546875" style="1" customWidth="1"/>
    <col min="11784" max="11784" width="19.5703125" style="1" customWidth="1"/>
    <col min="11785" max="11785" width="18" style="1" customWidth="1"/>
    <col min="11786" max="11786" width="9.140625" style="1"/>
    <col min="11787" max="11787" width="23.140625" style="1" customWidth="1"/>
    <col min="11788" max="11788" width="9.140625" style="1"/>
    <col min="11789" max="11789" width="12.5703125" style="1" customWidth="1"/>
    <col min="11790" max="12029" width="9.140625" style="1"/>
    <col min="12030" max="12030" width="4.5703125" style="1" customWidth="1"/>
    <col min="12031" max="12031" width="60.7109375" style="1" customWidth="1"/>
    <col min="12032" max="12032" width="23.85546875" style="1" customWidth="1"/>
    <col min="12033" max="12034" width="21.140625" style="1" customWidth="1"/>
    <col min="12035" max="12035" width="20.42578125" style="1" customWidth="1"/>
    <col min="12036" max="12036" width="21" style="1" customWidth="1"/>
    <col min="12037" max="12037" width="20.85546875" style="1" customWidth="1"/>
    <col min="12038" max="12038" width="20.7109375" style="1" customWidth="1"/>
    <col min="12039" max="12039" width="18.85546875" style="1" customWidth="1"/>
    <col min="12040" max="12040" width="19.5703125" style="1" customWidth="1"/>
    <col min="12041" max="12041" width="18" style="1" customWidth="1"/>
    <col min="12042" max="12042" width="9.140625" style="1"/>
    <col min="12043" max="12043" width="23.140625" style="1" customWidth="1"/>
    <col min="12044" max="12044" width="9.140625" style="1"/>
    <col min="12045" max="12045" width="12.5703125" style="1" customWidth="1"/>
    <col min="12046" max="12285" width="9.140625" style="1"/>
    <col min="12286" max="12286" width="4.5703125" style="1" customWidth="1"/>
    <col min="12287" max="12287" width="60.7109375" style="1" customWidth="1"/>
    <col min="12288" max="12288" width="23.85546875" style="1" customWidth="1"/>
    <col min="12289" max="12290" width="21.140625" style="1" customWidth="1"/>
    <col min="12291" max="12291" width="20.42578125" style="1" customWidth="1"/>
    <col min="12292" max="12292" width="21" style="1" customWidth="1"/>
    <col min="12293" max="12293" width="20.85546875" style="1" customWidth="1"/>
    <col min="12294" max="12294" width="20.7109375" style="1" customWidth="1"/>
    <col min="12295" max="12295" width="18.85546875" style="1" customWidth="1"/>
    <col min="12296" max="12296" width="19.5703125" style="1" customWidth="1"/>
    <col min="12297" max="12297" width="18" style="1" customWidth="1"/>
    <col min="12298" max="12298" width="9.140625" style="1"/>
    <col min="12299" max="12299" width="23.140625" style="1" customWidth="1"/>
    <col min="12300" max="12300" width="9.140625" style="1"/>
    <col min="12301" max="12301" width="12.5703125" style="1" customWidth="1"/>
    <col min="12302" max="12541" width="9.140625" style="1"/>
    <col min="12542" max="12542" width="4.5703125" style="1" customWidth="1"/>
    <col min="12543" max="12543" width="60.7109375" style="1" customWidth="1"/>
    <col min="12544" max="12544" width="23.85546875" style="1" customWidth="1"/>
    <col min="12545" max="12546" width="21.140625" style="1" customWidth="1"/>
    <col min="12547" max="12547" width="20.42578125" style="1" customWidth="1"/>
    <col min="12548" max="12548" width="21" style="1" customWidth="1"/>
    <col min="12549" max="12549" width="20.85546875" style="1" customWidth="1"/>
    <col min="12550" max="12550" width="20.7109375" style="1" customWidth="1"/>
    <col min="12551" max="12551" width="18.85546875" style="1" customWidth="1"/>
    <col min="12552" max="12552" width="19.5703125" style="1" customWidth="1"/>
    <col min="12553" max="12553" width="18" style="1" customWidth="1"/>
    <col min="12554" max="12554" width="9.140625" style="1"/>
    <col min="12555" max="12555" width="23.140625" style="1" customWidth="1"/>
    <col min="12556" max="12556" width="9.140625" style="1"/>
    <col min="12557" max="12557" width="12.5703125" style="1" customWidth="1"/>
    <col min="12558" max="12797" width="9.140625" style="1"/>
    <col min="12798" max="12798" width="4.5703125" style="1" customWidth="1"/>
    <col min="12799" max="12799" width="60.7109375" style="1" customWidth="1"/>
    <col min="12800" max="12800" width="23.85546875" style="1" customWidth="1"/>
    <col min="12801" max="12802" width="21.140625" style="1" customWidth="1"/>
    <col min="12803" max="12803" width="20.42578125" style="1" customWidth="1"/>
    <col min="12804" max="12804" width="21" style="1" customWidth="1"/>
    <col min="12805" max="12805" width="20.85546875" style="1" customWidth="1"/>
    <col min="12806" max="12806" width="20.7109375" style="1" customWidth="1"/>
    <col min="12807" max="12807" width="18.85546875" style="1" customWidth="1"/>
    <col min="12808" max="12808" width="19.5703125" style="1" customWidth="1"/>
    <col min="12809" max="12809" width="18" style="1" customWidth="1"/>
    <col min="12810" max="12810" width="9.140625" style="1"/>
    <col min="12811" max="12811" width="23.140625" style="1" customWidth="1"/>
    <col min="12812" max="12812" width="9.140625" style="1"/>
    <col min="12813" max="12813" width="12.5703125" style="1" customWidth="1"/>
    <col min="12814" max="13053" width="9.140625" style="1"/>
    <col min="13054" max="13054" width="4.5703125" style="1" customWidth="1"/>
    <col min="13055" max="13055" width="60.7109375" style="1" customWidth="1"/>
    <col min="13056" max="13056" width="23.85546875" style="1" customWidth="1"/>
    <col min="13057" max="13058" width="21.140625" style="1" customWidth="1"/>
    <col min="13059" max="13059" width="20.42578125" style="1" customWidth="1"/>
    <col min="13060" max="13060" width="21" style="1" customWidth="1"/>
    <col min="13061" max="13061" width="20.85546875" style="1" customWidth="1"/>
    <col min="13062" max="13062" width="20.7109375" style="1" customWidth="1"/>
    <col min="13063" max="13063" width="18.85546875" style="1" customWidth="1"/>
    <col min="13064" max="13064" width="19.5703125" style="1" customWidth="1"/>
    <col min="13065" max="13065" width="18" style="1" customWidth="1"/>
    <col min="13066" max="13066" width="9.140625" style="1"/>
    <col min="13067" max="13067" width="23.140625" style="1" customWidth="1"/>
    <col min="13068" max="13068" width="9.140625" style="1"/>
    <col min="13069" max="13069" width="12.5703125" style="1" customWidth="1"/>
    <col min="13070" max="13309" width="9.140625" style="1"/>
    <col min="13310" max="13310" width="4.5703125" style="1" customWidth="1"/>
    <col min="13311" max="13311" width="60.7109375" style="1" customWidth="1"/>
    <col min="13312" max="13312" width="23.85546875" style="1" customWidth="1"/>
    <col min="13313" max="13314" width="21.140625" style="1" customWidth="1"/>
    <col min="13315" max="13315" width="20.42578125" style="1" customWidth="1"/>
    <col min="13316" max="13316" width="21" style="1" customWidth="1"/>
    <col min="13317" max="13317" width="20.85546875" style="1" customWidth="1"/>
    <col min="13318" max="13318" width="20.7109375" style="1" customWidth="1"/>
    <col min="13319" max="13319" width="18.85546875" style="1" customWidth="1"/>
    <col min="13320" max="13320" width="19.5703125" style="1" customWidth="1"/>
    <col min="13321" max="13321" width="18" style="1" customWidth="1"/>
    <col min="13322" max="13322" width="9.140625" style="1"/>
    <col min="13323" max="13323" width="23.140625" style="1" customWidth="1"/>
    <col min="13324" max="13324" width="9.140625" style="1"/>
    <col min="13325" max="13325" width="12.5703125" style="1" customWidth="1"/>
    <col min="13326" max="13565" width="9.140625" style="1"/>
    <col min="13566" max="13566" width="4.5703125" style="1" customWidth="1"/>
    <col min="13567" max="13567" width="60.7109375" style="1" customWidth="1"/>
    <col min="13568" max="13568" width="23.85546875" style="1" customWidth="1"/>
    <col min="13569" max="13570" width="21.140625" style="1" customWidth="1"/>
    <col min="13571" max="13571" width="20.42578125" style="1" customWidth="1"/>
    <col min="13572" max="13572" width="21" style="1" customWidth="1"/>
    <col min="13573" max="13573" width="20.85546875" style="1" customWidth="1"/>
    <col min="13574" max="13574" width="20.7109375" style="1" customWidth="1"/>
    <col min="13575" max="13575" width="18.85546875" style="1" customWidth="1"/>
    <col min="13576" max="13576" width="19.5703125" style="1" customWidth="1"/>
    <col min="13577" max="13577" width="18" style="1" customWidth="1"/>
    <col min="13578" max="13578" width="9.140625" style="1"/>
    <col min="13579" max="13579" width="23.140625" style="1" customWidth="1"/>
    <col min="13580" max="13580" width="9.140625" style="1"/>
    <col min="13581" max="13581" width="12.5703125" style="1" customWidth="1"/>
    <col min="13582" max="13821" width="9.140625" style="1"/>
    <col min="13822" max="13822" width="4.5703125" style="1" customWidth="1"/>
    <col min="13823" max="13823" width="60.7109375" style="1" customWidth="1"/>
    <col min="13824" max="13824" width="23.85546875" style="1" customWidth="1"/>
    <col min="13825" max="13826" width="21.140625" style="1" customWidth="1"/>
    <col min="13827" max="13827" width="20.42578125" style="1" customWidth="1"/>
    <col min="13828" max="13828" width="21" style="1" customWidth="1"/>
    <col min="13829" max="13829" width="20.85546875" style="1" customWidth="1"/>
    <col min="13830" max="13830" width="20.7109375" style="1" customWidth="1"/>
    <col min="13831" max="13831" width="18.85546875" style="1" customWidth="1"/>
    <col min="13832" max="13832" width="19.5703125" style="1" customWidth="1"/>
    <col min="13833" max="13833" width="18" style="1" customWidth="1"/>
    <col min="13834" max="13834" width="9.140625" style="1"/>
    <col min="13835" max="13835" width="23.140625" style="1" customWidth="1"/>
    <col min="13836" max="13836" width="9.140625" style="1"/>
    <col min="13837" max="13837" width="12.5703125" style="1" customWidth="1"/>
    <col min="13838" max="14077" width="9.140625" style="1"/>
    <col min="14078" max="14078" width="4.5703125" style="1" customWidth="1"/>
    <col min="14079" max="14079" width="60.7109375" style="1" customWidth="1"/>
    <col min="14080" max="14080" width="23.85546875" style="1" customWidth="1"/>
    <col min="14081" max="14082" width="21.140625" style="1" customWidth="1"/>
    <col min="14083" max="14083" width="20.42578125" style="1" customWidth="1"/>
    <col min="14084" max="14084" width="21" style="1" customWidth="1"/>
    <col min="14085" max="14085" width="20.85546875" style="1" customWidth="1"/>
    <col min="14086" max="14086" width="20.7109375" style="1" customWidth="1"/>
    <col min="14087" max="14087" width="18.85546875" style="1" customWidth="1"/>
    <col min="14088" max="14088" width="19.5703125" style="1" customWidth="1"/>
    <col min="14089" max="14089" width="18" style="1" customWidth="1"/>
    <col min="14090" max="14090" width="9.140625" style="1"/>
    <col min="14091" max="14091" width="23.140625" style="1" customWidth="1"/>
    <col min="14092" max="14092" width="9.140625" style="1"/>
    <col min="14093" max="14093" width="12.5703125" style="1" customWidth="1"/>
    <col min="14094" max="14333" width="9.140625" style="1"/>
    <col min="14334" max="14334" width="4.5703125" style="1" customWidth="1"/>
    <col min="14335" max="14335" width="60.7109375" style="1" customWidth="1"/>
    <col min="14336" max="14336" width="23.85546875" style="1" customWidth="1"/>
    <col min="14337" max="14338" width="21.140625" style="1" customWidth="1"/>
    <col min="14339" max="14339" width="20.42578125" style="1" customWidth="1"/>
    <col min="14340" max="14340" width="21" style="1" customWidth="1"/>
    <col min="14341" max="14341" width="20.85546875" style="1" customWidth="1"/>
    <col min="14342" max="14342" width="20.7109375" style="1" customWidth="1"/>
    <col min="14343" max="14343" width="18.85546875" style="1" customWidth="1"/>
    <col min="14344" max="14344" width="19.5703125" style="1" customWidth="1"/>
    <col min="14345" max="14345" width="18" style="1" customWidth="1"/>
    <col min="14346" max="14346" width="9.140625" style="1"/>
    <col min="14347" max="14347" width="23.140625" style="1" customWidth="1"/>
    <col min="14348" max="14348" width="9.140625" style="1"/>
    <col min="14349" max="14349" width="12.5703125" style="1" customWidth="1"/>
    <col min="14350" max="14589" width="9.140625" style="1"/>
    <col min="14590" max="14590" width="4.5703125" style="1" customWidth="1"/>
    <col min="14591" max="14591" width="60.7109375" style="1" customWidth="1"/>
    <col min="14592" max="14592" width="23.85546875" style="1" customWidth="1"/>
    <col min="14593" max="14594" width="21.140625" style="1" customWidth="1"/>
    <col min="14595" max="14595" width="20.42578125" style="1" customWidth="1"/>
    <col min="14596" max="14596" width="21" style="1" customWidth="1"/>
    <col min="14597" max="14597" width="20.85546875" style="1" customWidth="1"/>
    <col min="14598" max="14598" width="20.7109375" style="1" customWidth="1"/>
    <col min="14599" max="14599" width="18.85546875" style="1" customWidth="1"/>
    <col min="14600" max="14600" width="19.5703125" style="1" customWidth="1"/>
    <col min="14601" max="14601" width="18" style="1" customWidth="1"/>
    <col min="14602" max="14602" width="9.140625" style="1"/>
    <col min="14603" max="14603" width="23.140625" style="1" customWidth="1"/>
    <col min="14604" max="14604" width="9.140625" style="1"/>
    <col min="14605" max="14605" width="12.5703125" style="1" customWidth="1"/>
    <col min="14606" max="14845" width="9.140625" style="1"/>
    <col min="14846" max="14846" width="4.5703125" style="1" customWidth="1"/>
    <col min="14847" max="14847" width="60.7109375" style="1" customWidth="1"/>
    <col min="14848" max="14848" width="23.85546875" style="1" customWidth="1"/>
    <col min="14849" max="14850" width="21.140625" style="1" customWidth="1"/>
    <col min="14851" max="14851" width="20.42578125" style="1" customWidth="1"/>
    <col min="14852" max="14852" width="21" style="1" customWidth="1"/>
    <col min="14853" max="14853" width="20.85546875" style="1" customWidth="1"/>
    <col min="14854" max="14854" width="20.7109375" style="1" customWidth="1"/>
    <col min="14855" max="14855" width="18.85546875" style="1" customWidth="1"/>
    <col min="14856" max="14856" width="19.5703125" style="1" customWidth="1"/>
    <col min="14857" max="14857" width="18" style="1" customWidth="1"/>
    <col min="14858" max="14858" width="9.140625" style="1"/>
    <col min="14859" max="14859" width="23.140625" style="1" customWidth="1"/>
    <col min="14860" max="14860" width="9.140625" style="1"/>
    <col min="14861" max="14861" width="12.5703125" style="1" customWidth="1"/>
    <col min="14862" max="15101" width="9.140625" style="1"/>
    <col min="15102" max="15102" width="4.5703125" style="1" customWidth="1"/>
    <col min="15103" max="15103" width="60.7109375" style="1" customWidth="1"/>
    <col min="15104" max="15104" width="23.85546875" style="1" customWidth="1"/>
    <col min="15105" max="15106" width="21.140625" style="1" customWidth="1"/>
    <col min="15107" max="15107" width="20.42578125" style="1" customWidth="1"/>
    <col min="15108" max="15108" width="21" style="1" customWidth="1"/>
    <col min="15109" max="15109" width="20.85546875" style="1" customWidth="1"/>
    <col min="15110" max="15110" width="20.7109375" style="1" customWidth="1"/>
    <col min="15111" max="15111" width="18.85546875" style="1" customWidth="1"/>
    <col min="15112" max="15112" width="19.5703125" style="1" customWidth="1"/>
    <col min="15113" max="15113" width="18" style="1" customWidth="1"/>
    <col min="15114" max="15114" width="9.140625" style="1"/>
    <col min="15115" max="15115" width="23.140625" style="1" customWidth="1"/>
    <col min="15116" max="15116" width="9.140625" style="1"/>
    <col min="15117" max="15117" width="12.5703125" style="1" customWidth="1"/>
    <col min="15118" max="15357" width="9.140625" style="1"/>
    <col min="15358" max="15358" width="4.5703125" style="1" customWidth="1"/>
    <col min="15359" max="15359" width="60.7109375" style="1" customWidth="1"/>
    <col min="15360" max="15360" width="23.85546875" style="1" customWidth="1"/>
    <col min="15361" max="15362" width="21.140625" style="1" customWidth="1"/>
    <col min="15363" max="15363" width="20.42578125" style="1" customWidth="1"/>
    <col min="15364" max="15364" width="21" style="1" customWidth="1"/>
    <col min="15365" max="15365" width="20.85546875" style="1" customWidth="1"/>
    <col min="15366" max="15366" width="20.7109375" style="1" customWidth="1"/>
    <col min="15367" max="15367" width="18.85546875" style="1" customWidth="1"/>
    <col min="15368" max="15368" width="19.5703125" style="1" customWidth="1"/>
    <col min="15369" max="15369" width="18" style="1" customWidth="1"/>
    <col min="15370" max="15370" width="9.140625" style="1"/>
    <col min="15371" max="15371" width="23.140625" style="1" customWidth="1"/>
    <col min="15372" max="15372" width="9.140625" style="1"/>
    <col min="15373" max="15373" width="12.5703125" style="1" customWidth="1"/>
    <col min="15374" max="15613" width="9.140625" style="1"/>
    <col min="15614" max="15614" width="4.5703125" style="1" customWidth="1"/>
    <col min="15615" max="15615" width="60.7109375" style="1" customWidth="1"/>
    <col min="15616" max="15616" width="23.85546875" style="1" customWidth="1"/>
    <col min="15617" max="15618" width="21.140625" style="1" customWidth="1"/>
    <col min="15619" max="15619" width="20.42578125" style="1" customWidth="1"/>
    <col min="15620" max="15620" width="21" style="1" customWidth="1"/>
    <col min="15621" max="15621" width="20.85546875" style="1" customWidth="1"/>
    <col min="15622" max="15622" width="20.7109375" style="1" customWidth="1"/>
    <col min="15623" max="15623" width="18.85546875" style="1" customWidth="1"/>
    <col min="15624" max="15624" width="19.5703125" style="1" customWidth="1"/>
    <col min="15625" max="15625" width="18" style="1" customWidth="1"/>
    <col min="15626" max="15626" width="9.140625" style="1"/>
    <col min="15627" max="15627" width="23.140625" style="1" customWidth="1"/>
    <col min="15628" max="15628" width="9.140625" style="1"/>
    <col min="15629" max="15629" width="12.5703125" style="1" customWidth="1"/>
    <col min="15630" max="15869" width="9.140625" style="1"/>
    <col min="15870" max="15870" width="4.5703125" style="1" customWidth="1"/>
    <col min="15871" max="15871" width="60.7109375" style="1" customWidth="1"/>
    <col min="15872" max="15872" width="23.85546875" style="1" customWidth="1"/>
    <col min="15873" max="15874" width="21.140625" style="1" customWidth="1"/>
    <col min="15875" max="15875" width="20.42578125" style="1" customWidth="1"/>
    <col min="15876" max="15876" width="21" style="1" customWidth="1"/>
    <col min="15877" max="15877" width="20.85546875" style="1" customWidth="1"/>
    <col min="15878" max="15878" width="20.7109375" style="1" customWidth="1"/>
    <col min="15879" max="15879" width="18.85546875" style="1" customWidth="1"/>
    <col min="15880" max="15880" width="19.5703125" style="1" customWidth="1"/>
    <col min="15881" max="15881" width="18" style="1" customWidth="1"/>
    <col min="15882" max="15882" width="9.140625" style="1"/>
    <col min="15883" max="15883" width="23.140625" style="1" customWidth="1"/>
    <col min="15884" max="15884" width="9.140625" style="1"/>
    <col min="15885" max="15885" width="12.5703125" style="1" customWidth="1"/>
    <col min="15886" max="16125" width="9.140625" style="1"/>
    <col min="16126" max="16126" width="4.5703125" style="1" customWidth="1"/>
    <col min="16127" max="16127" width="60.7109375" style="1" customWidth="1"/>
    <col min="16128" max="16128" width="23.85546875" style="1" customWidth="1"/>
    <col min="16129" max="16130" width="21.140625" style="1" customWidth="1"/>
    <col min="16131" max="16131" width="20.42578125" style="1" customWidth="1"/>
    <col min="16132" max="16132" width="21" style="1" customWidth="1"/>
    <col min="16133" max="16133" width="20.85546875" style="1" customWidth="1"/>
    <col min="16134" max="16134" width="20.7109375" style="1" customWidth="1"/>
    <col min="16135" max="16135" width="18.85546875" style="1" customWidth="1"/>
    <col min="16136" max="16136" width="19.5703125" style="1" customWidth="1"/>
    <col min="16137" max="16137" width="18" style="1" customWidth="1"/>
    <col min="16138" max="16138" width="9.140625" style="1"/>
    <col min="16139" max="16139" width="23.140625" style="1" customWidth="1"/>
    <col min="16140" max="16140" width="9.140625" style="1"/>
    <col min="16141" max="16141" width="12.5703125" style="1" customWidth="1"/>
    <col min="16142" max="16384" width="9.140625" style="1"/>
  </cols>
  <sheetData>
    <row r="1" spans="1:15" ht="23.25" x14ac:dyDescent="0.35">
      <c r="C1" s="36"/>
      <c r="M1" s="614"/>
      <c r="N1" s="574"/>
      <c r="O1" s="574"/>
    </row>
    <row r="2" spans="1:15" x14ac:dyDescent="0.2">
      <c r="C2" s="100"/>
      <c r="D2" s="75"/>
    </row>
    <row r="3" spans="1:15" ht="20.25" customHeight="1" x14ac:dyDescent="0.35">
      <c r="C3" s="545" t="s">
        <v>202</v>
      </c>
      <c r="D3" s="545"/>
      <c r="E3" s="545"/>
      <c r="F3" s="545"/>
      <c r="G3" s="545"/>
      <c r="H3" s="545"/>
      <c r="I3" s="545"/>
      <c r="J3" s="545"/>
      <c r="K3" s="545"/>
      <c r="L3" s="545"/>
      <c r="M3" s="574"/>
      <c r="N3" s="574"/>
      <c r="O3" s="574"/>
    </row>
    <row r="4" spans="1:15" ht="20.25" customHeight="1" x14ac:dyDescent="0.35">
      <c r="A4" s="2"/>
      <c r="C4" s="545" t="s">
        <v>113</v>
      </c>
      <c r="D4" s="545"/>
      <c r="E4" s="545"/>
      <c r="F4" s="545"/>
      <c r="G4" s="545"/>
      <c r="H4" s="545"/>
      <c r="I4" s="545"/>
      <c r="J4" s="545"/>
      <c r="K4" s="545"/>
      <c r="L4" s="545"/>
      <c r="M4" s="574"/>
      <c r="N4" s="574"/>
      <c r="O4" s="574"/>
    </row>
    <row r="5" spans="1:15" ht="22.5" customHeight="1" x14ac:dyDescent="0.35">
      <c r="A5" s="2"/>
      <c r="C5" s="545" t="s">
        <v>61</v>
      </c>
      <c r="D5" s="545"/>
      <c r="E5" s="545"/>
      <c r="F5" s="545"/>
      <c r="G5" s="545"/>
      <c r="H5" s="545"/>
      <c r="I5" s="545"/>
      <c r="J5" s="545"/>
      <c r="K5" s="545"/>
      <c r="L5" s="545"/>
      <c r="M5" s="574"/>
      <c r="N5" s="574"/>
      <c r="O5" s="574"/>
    </row>
    <row r="6" spans="1:15" ht="20.25" customHeight="1" thickBot="1" x14ac:dyDescent="0.4">
      <c r="A6" s="2"/>
      <c r="C6" s="620"/>
      <c r="D6" s="620"/>
      <c r="E6" s="620"/>
      <c r="F6" s="620"/>
      <c r="G6" s="620"/>
      <c r="H6" s="620"/>
      <c r="I6" s="620"/>
      <c r="J6" s="620"/>
      <c r="K6" s="620"/>
      <c r="L6" s="620"/>
      <c r="M6" s="1"/>
      <c r="N6" s="1"/>
      <c r="O6" s="1"/>
    </row>
    <row r="7" spans="1:15" s="7" customFormat="1" ht="21.75" customHeight="1" x14ac:dyDescent="0.25">
      <c r="A7" s="6"/>
      <c r="B7" s="223"/>
      <c r="C7" s="200"/>
      <c r="D7" s="166">
        <v>2013</v>
      </c>
      <c r="E7" s="166">
        <v>2014</v>
      </c>
      <c r="F7" s="166">
        <v>2015</v>
      </c>
      <c r="G7" s="166">
        <v>2016</v>
      </c>
      <c r="H7" s="166">
        <v>2017</v>
      </c>
      <c r="I7" s="166">
        <v>2018</v>
      </c>
      <c r="J7" s="166">
        <v>2019</v>
      </c>
      <c r="K7" s="166">
        <v>2020</v>
      </c>
      <c r="L7" s="166">
        <v>2021</v>
      </c>
      <c r="M7" s="166">
        <v>2022</v>
      </c>
      <c r="N7" s="166">
        <v>2023</v>
      </c>
      <c r="O7" s="166">
        <v>2024</v>
      </c>
    </row>
    <row r="8" spans="1:15" ht="24.75" customHeight="1" x14ac:dyDescent="0.25">
      <c r="A8" s="6"/>
      <c r="B8" s="223"/>
      <c r="C8" s="201"/>
      <c r="D8" s="170" t="s">
        <v>62</v>
      </c>
      <c r="E8" s="170" t="s">
        <v>62</v>
      </c>
      <c r="F8" s="170" t="s">
        <v>62</v>
      </c>
      <c r="G8" s="170" t="s">
        <v>62</v>
      </c>
      <c r="H8" s="170" t="s">
        <v>62</v>
      </c>
      <c r="I8" s="170" t="s">
        <v>62</v>
      </c>
      <c r="J8" s="170" t="s">
        <v>62</v>
      </c>
      <c r="K8" s="170" t="s">
        <v>62</v>
      </c>
      <c r="L8" s="170" t="s">
        <v>62</v>
      </c>
      <c r="M8" s="170" t="s">
        <v>209</v>
      </c>
      <c r="N8" s="170" t="s">
        <v>209</v>
      </c>
      <c r="O8" s="170" t="s">
        <v>209</v>
      </c>
    </row>
    <row r="9" spans="1:15" ht="17.25" customHeight="1" x14ac:dyDescent="0.25">
      <c r="A9" s="6"/>
      <c r="B9" s="223"/>
      <c r="C9" s="169" t="s">
        <v>140</v>
      </c>
      <c r="D9" s="170"/>
      <c r="E9" s="170"/>
      <c r="F9" s="170"/>
      <c r="G9" s="170"/>
      <c r="H9" s="170"/>
      <c r="I9" s="170"/>
      <c r="J9" s="170"/>
      <c r="K9" s="170"/>
      <c r="L9" s="170"/>
      <c r="M9" s="170"/>
      <c r="N9" s="170"/>
      <c r="O9" s="170"/>
    </row>
    <row r="10" spans="1:15" ht="9" customHeight="1" thickBot="1" x14ac:dyDescent="0.3">
      <c r="A10" s="6"/>
      <c r="B10" s="223"/>
      <c r="C10" s="203"/>
      <c r="D10" s="291"/>
      <c r="E10" s="291"/>
      <c r="F10" s="291"/>
      <c r="G10" s="291"/>
      <c r="H10" s="291"/>
      <c r="I10" s="291"/>
      <c r="J10" s="291"/>
      <c r="K10" s="291"/>
      <c r="L10" s="291"/>
      <c r="M10" s="291"/>
      <c r="N10" s="291"/>
      <c r="O10" s="291"/>
    </row>
    <row r="11" spans="1:15" s="8" customFormat="1" ht="29.25" customHeight="1" thickBot="1" x14ac:dyDescent="0.3">
      <c r="A11" s="6"/>
      <c r="B11" s="223"/>
      <c r="C11" s="541" t="s">
        <v>8</v>
      </c>
      <c r="D11" s="541"/>
      <c r="E11" s="541"/>
      <c r="F11" s="541"/>
      <c r="G11" s="541"/>
      <c r="H11" s="541"/>
      <c r="I11" s="541"/>
      <c r="J11" s="541"/>
      <c r="K11" s="541"/>
      <c r="L11" s="541"/>
      <c r="M11" s="619"/>
      <c r="N11" s="619"/>
      <c r="O11" s="619"/>
    </row>
    <row r="12" spans="1:15" s="2" customFormat="1" ht="26.25" customHeight="1" thickBot="1" x14ac:dyDescent="0.3">
      <c r="A12" s="9" t="s">
        <v>0</v>
      </c>
      <c r="B12" s="224"/>
      <c r="C12" s="177" t="s">
        <v>126</v>
      </c>
      <c r="D12" s="325">
        <v>634</v>
      </c>
      <c r="E12" s="325">
        <v>792</v>
      </c>
      <c r="F12" s="325">
        <v>138</v>
      </c>
      <c r="G12" s="325">
        <v>202</v>
      </c>
      <c r="H12" s="325">
        <v>1058</v>
      </c>
      <c r="I12" s="325">
        <v>736</v>
      </c>
      <c r="J12" s="325">
        <v>796</v>
      </c>
      <c r="K12" s="325">
        <v>283</v>
      </c>
      <c r="L12" s="325">
        <v>554</v>
      </c>
      <c r="M12" s="325">
        <f>'[15] Eversource Gas_Table B'!$K8</f>
        <v>253.59419501684334</v>
      </c>
      <c r="N12" s="325">
        <f>'[15] Eversource Gas_Table B'!$K32</f>
        <v>152.52285802487646</v>
      </c>
      <c r="O12" s="325">
        <f>'[15] Eversource Gas_Table B'!$K55</f>
        <v>5.9173576067250799</v>
      </c>
    </row>
    <row r="13" spans="1:15" s="2" customFormat="1" ht="54.75" thickBot="1" x14ac:dyDescent="0.3">
      <c r="A13" s="9" t="s">
        <v>0</v>
      </c>
      <c r="B13" s="224"/>
      <c r="C13" s="479" t="s">
        <v>314</v>
      </c>
      <c r="D13" s="325">
        <v>2869</v>
      </c>
      <c r="E13" s="325">
        <v>3048</v>
      </c>
      <c r="F13" s="325">
        <f>1180+417+16</f>
        <v>1613</v>
      </c>
      <c r="G13" s="325">
        <v>2141</v>
      </c>
      <c r="H13" s="325">
        <v>4973</v>
      </c>
      <c r="I13" s="325">
        <v>2212</v>
      </c>
      <c r="J13" s="325">
        <v>4224</v>
      </c>
      <c r="K13" s="325">
        <v>4149</v>
      </c>
      <c r="L13" s="325">
        <v>3930</v>
      </c>
      <c r="M13" s="325">
        <f>'[15] Eversource Gas_Table B'!$K9</f>
        <v>1673.6362954689409</v>
      </c>
      <c r="N13" s="325">
        <f>'[15] Eversource Gas_Table B'!$K33</f>
        <v>3659.051268285938</v>
      </c>
      <c r="O13" s="325">
        <f>'[15] Eversource Gas_Table B'!$K56</f>
        <v>4426.1616464321196</v>
      </c>
    </row>
    <row r="14" spans="1:15" s="2" customFormat="1" ht="18.75" thickBot="1" x14ac:dyDescent="0.3">
      <c r="A14" s="9" t="s">
        <v>136</v>
      </c>
      <c r="B14" s="224"/>
      <c r="C14" s="479" t="s">
        <v>348</v>
      </c>
      <c r="D14" s="325">
        <v>0</v>
      </c>
      <c r="E14" s="325">
        <v>0</v>
      </c>
      <c r="F14" s="325">
        <v>0</v>
      </c>
      <c r="G14" s="325">
        <v>3350</v>
      </c>
      <c r="H14" s="325">
        <v>3393</v>
      </c>
      <c r="I14" s="325">
        <v>4783</v>
      </c>
      <c r="J14" s="325">
        <v>5406</v>
      </c>
      <c r="K14" s="325">
        <v>22633</v>
      </c>
      <c r="L14" s="325">
        <v>16878</v>
      </c>
      <c r="M14" s="325">
        <f>'[15] Eversource Gas_Table B'!$K10</f>
        <v>13567.495099810723</v>
      </c>
      <c r="N14" s="325">
        <f>'[15] Eversource Gas_Table B'!$K34</f>
        <v>33581.984025012425</v>
      </c>
      <c r="O14" s="325">
        <f>'[15] Eversource Gas_Table B'!$K57</f>
        <v>31931.234370940627</v>
      </c>
    </row>
    <row r="15" spans="1:15" s="2" customFormat="1" ht="25.5" customHeight="1" thickBot="1" x14ac:dyDescent="0.3">
      <c r="A15" s="9"/>
      <c r="B15" s="224"/>
      <c r="C15" s="177" t="s">
        <v>135</v>
      </c>
      <c r="D15" s="325">
        <v>140</v>
      </c>
      <c r="E15" s="325">
        <v>333</v>
      </c>
      <c r="F15" s="325">
        <v>306</v>
      </c>
      <c r="G15" s="325">
        <v>0</v>
      </c>
      <c r="H15" s="325">
        <v>0</v>
      </c>
      <c r="I15" s="325">
        <v>0</v>
      </c>
      <c r="J15" s="325">
        <v>0</v>
      </c>
      <c r="K15" s="325">
        <v>0</v>
      </c>
      <c r="L15" s="325">
        <v>0</v>
      </c>
      <c r="M15" s="325">
        <v>0</v>
      </c>
      <c r="N15" s="325">
        <v>0</v>
      </c>
      <c r="O15" s="325">
        <v>0</v>
      </c>
    </row>
    <row r="16" spans="1:15" s="2" customFormat="1" ht="24.75" customHeight="1" thickBot="1" x14ac:dyDescent="0.3">
      <c r="A16" s="9"/>
      <c r="B16" s="224"/>
      <c r="C16" s="177" t="s">
        <v>134</v>
      </c>
      <c r="D16" s="325">
        <v>34</v>
      </c>
      <c r="E16" s="325">
        <f>19+12+363</f>
        <v>394</v>
      </c>
      <c r="F16" s="325">
        <v>0</v>
      </c>
      <c r="G16" s="325">
        <v>0</v>
      </c>
      <c r="H16" s="325">
        <v>0</v>
      </c>
      <c r="I16" s="325">
        <v>0</v>
      </c>
      <c r="J16" s="325">
        <v>0</v>
      </c>
      <c r="K16" s="325">
        <v>0</v>
      </c>
      <c r="L16" s="325">
        <v>0</v>
      </c>
      <c r="M16" s="325">
        <v>0</v>
      </c>
      <c r="N16" s="325">
        <v>0</v>
      </c>
      <c r="O16" s="325">
        <v>0</v>
      </c>
    </row>
    <row r="17" spans="1:15" s="2" customFormat="1" ht="36.75" customHeight="1" thickBot="1" x14ac:dyDescent="0.3">
      <c r="A17" s="9"/>
      <c r="B17" s="224"/>
      <c r="C17" s="295" t="s">
        <v>235</v>
      </c>
      <c r="D17" s="325">
        <v>247</v>
      </c>
      <c r="E17" s="325">
        <v>1334</v>
      </c>
      <c r="F17" s="325">
        <f>570+1538</f>
        <v>2108</v>
      </c>
      <c r="G17" s="325">
        <v>0</v>
      </c>
      <c r="H17" s="325">
        <v>0</v>
      </c>
      <c r="I17" s="325">
        <v>0</v>
      </c>
      <c r="J17" s="325">
        <v>0</v>
      </c>
      <c r="K17" s="325">
        <v>0</v>
      </c>
      <c r="L17" s="325">
        <v>0</v>
      </c>
      <c r="M17" s="325">
        <v>0</v>
      </c>
      <c r="N17" s="325">
        <v>0</v>
      </c>
      <c r="O17" s="325">
        <v>0</v>
      </c>
    </row>
    <row r="18" spans="1:15" s="2" customFormat="1" ht="27" customHeight="1" thickBot="1" x14ac:dyDescent="0.3">
      <c r="A18" s="9"/>
      <c r="B18" s="224"/>
      <c r="C18" s="177" t="s">
        <v>133</v>
      </c>
      <c r="D18" s="325">
        <v>217</v>
      </c>
      <c r="E18" s="325">
        <v>529</v>
      </c>
      <c r="F18" s="325">
        <v>336</v>
      </c>
      <c r="G18" s="325">
        <v>0</v>
      </c>
      <c r="H18" s="325">
        <v>0</v>
      </c>
      <c r="I18" s="325">
        <v>0</v>
      </c>
      <c r="J18" s="325">
        <v>0</v>
      </c>
      <c r="K18" s="325">
        <v>0</v>
      </c>
      <c r="L18" s="325">
        <v>0</v>
      </c>
      <c r="M18" s="325">
        <v>0</v>
      </c>
      <c r="N18" s="325">
        <v>0</v>
      </c>
      <c r="O18" s="325">
        <v>0</v>
      </c>
    </row>
    <row r="19" spans="1:15" s="2" customFormat="1" ht="24" customHeight="1" thickBot="1" x14ac:dyDescent="0.3">
      <c r="A19" s="9"/>
      <c r="B19" s="224"/>
      <c r="C19" s="314" t="s">
        <v>233</v>
      </c>
      <c r="D19" s="329">
        <f t="shared" ref="D19:F19" si="0">SUM(D13:D18)</f>
        <v>3507</v>
      </c>
      <c r="E19" s="329">
        <f t="shared" si="0"/>
        <v>5638</v>
      </c>
      <c r="F19" s="329">
        <f t="shared" si="0"/>
        <v>4363</v>
      </c>
      <c r="G19" s="329">
        <v>0</v>
      </c>
      <c r="H19" s="329">
        <v>0</v>
      </c>
      <c r="I19" s="329">
        <v>0</v>
      </c>
      <c r="J19" s="329">
        <v>0</v>
      </c>
      <c r="K19" s="329">
        <v>0</v>
      </c>
      <c r="L19" s="329">
        <v>0</v>
      </c>
      <c r="M19" s="329">
        <v>0</v>
      </c>
      <c r="N19" s="329">
        <v>0</v>
      </c>
      <c r="O19" s="329">
        <v>0</v>
      </c>
    </row>
    <row r="20" spans="1:15" s="6" customFormat="1" ht="22.5" customHeight="1" thickBot="1" x14ac:dyDescent="0.3">
      <c r="A20" s="9" t="s">
        <v>5</v>
      </c>
      <c r="B20" s="224"/>
      <c r="C20" s="177" t="s">
        <v>230</v>
      </c>
      <c r="D20" s="325">
        <v>2052</v>
      </c>
      <c r="E20" s="325">
        <v>4070</v>
      </c>
      <c r="F20" s="325">
        <v>2978</v>
      </c>
      <c r="G20" s="325">
        <v>2205</v>
      </c>
      <c r="H20" s="325">
        <v>8590</v>
      </c>
      <c r="I20" s="325">
        <v>4036</v>
      </c>
      <c r="J20" s="325">
        <v>3808</v>
      </c>
      <c r="K20" s="325">
        <v>5485</v>
      </c>
      <c r="L20" s="325">
        <v>4479</v>
      </c>
      <c r="M20" s="325">
        <f>'[15] Eversource Gas_Table B'!$K$11</f>
        <v>3535.0120261277721</v>
      </c>
      <c r="N20" s="325">
        <f>'[15] Eversource Gas_Table B'!$K35</f>
        <v>5585.7190428729791</v>
      </c>
      <c r="O20" s="325">
        <f>'[15] Eversource Gas_Table B'!$K58</f>
        <v>5720.9918927419494</v>
      </c>
    </row>
    <row r="21" spans="1:15" s="2" customFormat="1" ht="23.25" customHeight="1" thickBot="1" x14ac:dyDescent="0.3">
      <c r="A21" s="9" t="s">
        <v>0</v>
      </c>
      <c r="B21" s="224"/>
      <c r="C21" s="177" t="s">
        <v>127</v>
      </c>
      <c r="D21" s="325">
        <v>54</v>
      </c>
      <c r="E21" s="325">
        <v>752</v>
      </c>
      <c r="F21" s="330">
        <v>1084</v>
      </c>
      <c r="G21" s="330">
        <v>0</v>
      </c>
      <c r="H21" s="330">
        <v>0</v>
      </c>
      <c r="I21" s="330">
        <v>0</v>
      </c>
      <c r="J21" s="330">
        <v>0</v>
      </c>
      <c r="K21" s="330">
        <v>0</v>
      </c>
      <c r="L21" s="330">
        <v>0</v>
      </c>
      <c r="M21" s="330">
        <v>0</v>
      </c>
      <c r="N21" s="330">
        <v>0</v>
      </c>
      <c r="O21" s="330">
        <v>0</v>
      </c>
    </row>
    <row r="22" spans="1:15" s="2" customFormat="1" ht="23.25" customHeight="1" thickBot="1" x14ac:dyDescent="0.3">
      <c r="A22" s="9"/>
      <c r="B22" s="224"/>
      <c r="C22" s="177" t="s">
        <v>195</v>
      </c>
      <c r="D22" s="325">
        <v>0</v>
      </c>
      <c r="E22" s="325">
        <v>0</v>
      </c>
      <c r="F22" s="330">
        <v>0</v>
      </c>
      <c r="G22" s="330">
        <v>0</v>
      </c>
      <c r="H22" s="325">
        <v>95000</v>
      </c>
      <c r="I22" s="325">
        <v>29750</v>
      </c>
      <c r="J22" s="325">
        <v>59270</v>
      </c>
      <c r="K22" s="325">
        <f>[16]EG_Table_B!$K$36</f>
        <v>0</v>
      </c>
      <c r="L22" s="325">
        <v>0</v>
      </c>
      <c r="M22" s="325">
        <f>'[15] Eversource Gas_Table B'!$K$12</f>
        <v>22000</v>
      </c>
      <c r="N22" s="325">
        <f>'[15] Eversource Gas_Table B'!$K36</f>
        <v>22000</v>
      </c>
      <c r="O22" s="325">
        <f>'[15] Eversource Gas_Table B'!$K59</f>
        <v>22000</v>
      </c>
    </row>
    <row r="23" spans="1:15" ht="24" customHeight="1" thickBot="1" x14ac:dyDescent="0.3">
      <c r="A23" s="6"/>
      <c r="B23" s="223"/>
      <c r="C23" s="176" t="s">
        <v>213</v>
      </c>
      <c r="D23" s="329">
        <f t="shared" ref="D23:F23" si="1">D12+D19+SUM(D20:D22)</f>
        <v>6247</v>
      </c>
      <c r="E23" s="329">
        <f t="shared" si="1"/>
        <v>11252</v>
      </c>
      <c r="F23" s="329">
        <f t="shared" si="1"/>
        <v>8563</v>
      </c>
      <c r="G23" s="329">
        <f>G12+G13+G14+G20+G22</f>
        <v>7898</v>
      </c>
      <c r="H23" s="329">
        <f t="shared" ref="H23:L23" si="2">H12+H13+H14+H20+H22</f>
        <v>113014</v>
      </c>
      <c r="I23" s="329">
        <f t="shared" si="2"/>
        <v>41517</v>
      </c>
      <c r="J23" s="329">
        <f t="shared" si="2"/>
        <v>73504</v>
      </c>
      <c r="K23" s="329">
        <f t="shared" si="2"/>
        <v>32550</v>
      </c>
      <c r="L23" s="329">
        <f t="shared" si="2"/>
        <v>25841</v>
      </c>
      <c r="M23" s="329">
        <f t="shared" ref="M23" si="3">M12+M13+M14+M20+M22</f>
        <v>41029.737616424281</v>
      </c>
      <c r="N23" s="329">
        <f t="shared" ref="N23" si="4">N12+N13+N14+N20+N22</f>
        <v>64979.27719419622</v>
      </c>
      <c r="O23" s="329">
        <f t="shared" ref="O23" si="5">O12+O13+O14+O20+O22</f>
        <v>64084.305267721422</v>
      </c>
    </row>
    <row r="24" spans="1:15" s="2" customFormat="1" ht="18.75" customHeight="1" thickBot="1" x14ac:dyDescent="0.3">
      <c r="A24" s="8"/>
      <c r="B24" s="223"/>
      <c r="C24" s="540" t="s">
        <v>1</v>
      </c>
      <c r="D24" s="540"/>
      <c r="E24" s="540"/>
      <c r="F24" s="540"/>
      <c r="G24" s="540"/>
      <c r="H24" s="540"/>
      <c r="I24" s="540"/>
      <c r="J24" s="540"/>
      <c r="K24" s="540"/>
      <c r="L24" s="540"/>
      <c r="M24" s="619"/>
      <c r="N24" s="619"/>
      <c r="O24" s="619"/>
    </row>
    <row r="25" spans="1:15" ht="26.25" customHeight="1" thickBot="1" x14ac:dyDescent="0.3">
      <c r="A25" s="10" t="s">
        <v>2</v>
      </c>
      <c r="B25" s="223"/>
      <c r="C25" s="177" t="s">
        <v>94</v>
      </c>
      <c r="D25" s="325">
        <v>136</v>
      </c>
      <c r="E25" s="325">
        <v>153</v>
      </c>
      <c r="F25" s="325">
        <v>150</v>
      </c>
      <c r="G25" s="325">
        <v>172</v>
      </c>
      <c r="H25" s="325">
        <v>192</v>
      </c>
      <c r="I25" s="325">
        <v>153</v>
      </c>
      <c r="J25" s="325">
        <v>205</v>
      </c>
      <c r="K25" s="325">
        <v>292</v>
      </c>
      <c r="L25" s="325">
        <v>19</v>
      </c>
      <c r="M25" s="325">
        <f>'[15] Eversource Gas_Table B'!$K15</f>
        <v>20.678152882027629</v>
      </c>
      <c r="N25" s="325">
        <f>'[15] Eversource Gas_Table B'!$K39</f>
        <v>23.084451232140808</v>
      </c>
      <c r="O25" s="325">
        <f>'[15] Eversource Gas_Table B'!$K62</f>
        <v>23.462305865843099</v>
      </c>
    </row>
    <row r="26" spans="1:15" ht="23.25" customHeight="1" thickBot="1" x14ac:dyDescent="0.3">
      <c r="A26" s="10" t="s">
        <v>2</v>
      </c>
      <c r="B26" s="223"/>
      <c r="C26" s="177" t="s">
        <v>48</v>
      </c>
      <c r="D26" s="325">
        <v>42</v>
      </c>
      <c r="E26" s="325">
        <v>55</v>
      </c>
      <c r="F26" s="325">
        <v>49</v>
      </c>
      <c r="G26" s="325">
        <v>61</v>
      </c>
      <c r="H26" s="325">
        <v>55</v>
      </c>
      <c r="I26" s="325">
        <f>'[17]Resource Summary B-2 Mar'!$I$134</f>
        <v>49</v>
      </c>
      <c r="J26" s="325">
        <v>59</v>
      </c>
      <c r="K26" s="325">
        <v>121</v>
      </c>
      <c r="L26" s="325">
        <v>102</v>
      </c>
      <c r="M26" s="325">
        <f>'[15] Eversource Gas_Table B'!$K16</f>
        <v>58.604570598173559</v>
      </c>
      <c r="N26" s="325">
        <f>'[15] Eversource Gas_Table B'!$K40</f>
        <v>192.38532123112947</v>
      </c>
      <c r="O26" s="325">
        <f>'[15] Eversource Gas_Table B'!$K63</f>
        <v>188.85659669338136</v>
      </c>
    </row>
    <row r="27" spans="1:15" ht="36.75" thickBot="1" x14ac:dyDescent="0.3">
      <c r="A27" s="10" t="s">
        <v>2</v>
      </c>
      <c r="B27" s="223"/>
      <c r="C27" s="272" t="s">
        <v>323</v>
      </c>
      <c r="D27" s="325">
        <v>4</v>
      </c>
      <c r="E27" s="325">
        <v>8</v>
      </c>
      <c r="F27" s="325">
        <v>11</v>
      </c>
      <c r="G27" s="325">
        <v>23</v>
      </c>
      <c r="H27" s="325">
        <v>25</v>
      </c>
      <c r="I27" s="325">
        <v>23</v>
      </c>
      <c r="J27" s="325">
        <v>29</v>
      </c>
      <c r="K27" s="325">
        <v>26</v>
      </c>
      <c r="L27" s="325">
        <v>22</v>
      </c>
      <c r="M27" s="325">
        <f>'[15] Eversource Gas_Table B'!$K17</f>
        <v>11.471735029146988</v>
      </c>
      <c r="N27" s="325">
        <f>'[15] Eversource Gas_Table B'!$K41</f>
        <v>21.778087422704644</v>
      </c>
      <c r="O27" s="325">
        <f>'[15] Eversource Gas_Table B'!$K64</f>
        <v>21.658574766845796</v>
      </c>
    </row>
    <row r="28" spans="1:15" ht="18.75" thickBot="1" x14ac:dyDescent="0.3">
      <c r="A28" s="10" t="s">
        <v>2</v>
      </c>
      <c r="B28" s="223"/>
      <c r="C28" s="177" t="s">
        <v>128</v>
      </c>
      <c r="D28" s="325">
        <v>50</v>
      </c>
      <c r="E28" s="325">
        <v>62</v>
      </c>
      <c r="F28" s="325">
        <v>58</v>
      </c>
      <c r="G28" s="325">
        <v>50</v>
      </c>
      <c r="H28" s="325">
        <v>53</v>
      </c>
      <c r="I28" s="325">
        <v>64</v>
      </c>
      <c r="J28" s="325">
        <v>78</v>
      </c>
      <c r="K28" s="325">
        <v>39</v>
      </c>
      <c r="L28" s="325">
        <v>27</v>
      </c>
      <c r="M28" s="325">
        <f>'[15] Eversource Gas_Table B'!$K18</f>
        <v>302.85794833929469</v>
      </c>
      <c r="N28" s="325">
        <f>'[15] Eversource Gas_Table B'!$K42</f>
        <v>155.4197493736568</v>
      </c>
      <c r="O28" s="325">
        <f>'[15] Eversource Gas_Table B'!$K65</f>
        <v>158.79958185036381</v>
      </c>
    </row>
    <row r="29" spans="1:15" s="13" customFormat="1" ht="23.25" customHeight="1" thickBot="1" x14ac:dyDescent="0.3">
      <c r="A29" s="12"/>
      <c r="B29" s="225"/>
      <c r="C29" s="184" t="s">
        <v>214</v>
      </c>
      <c r="D29" s="324">
        <f>SUM(D25:D28)</f>
        <v>232</v>
      </c>
      <c r="E29" s="324">
        <f t="shared" ref="E29:L29" si="6">SUM(E25:E28)</f>
        <v>278</v>
      </c>
      <c r="F29" s="324">
        <f t="shared" si="6"/>
        <v>268</v>
      </c>
      <c r="G29" s="324">
        <f t="shared" si="6"/>
        <v>306</v>
      </c>
      <c r="H29" s="324">
        <f t="shared" si="6"/>
        <v>325</v>
      </c>
      <c r="I29" s="324">
        <f t="shared" si="6"/>
        <v>289</v>
      </c>
      <c r="J29" s="324">
        <f t="shared" si="6"/>
        <v>371</v>
      </c>
      <c r="K29" s="324">
        <f t="shared" si="6"/>
        <v>478</v>
      </c>
      <c r="L29" s="324">
        <f t="shared" si="6"/>
        <v>170</v>
      </c>
      <c r="M29" s="324">
        <f t="shared" ref="M29" si="7">SUM(M25:M28)</f>
        <v>393.61240684864288</v>
      </c>
      <c r="N29" s="324">
        <f t="shared" ref="N29" si="8">SUM(N25:N28)</f>
        <v>392.66760925963172</v>
      </c>
      <c r="O29" s="324">
        <f t="shared" ref="O29" si="9">SUM(O25:O28)</f>
        <v>392.77705917643402</v>
      </c>
    </row>
    <row r="30" spans="1:15" s="11" customFormat="1" ht="18.75" hidden="1" thickBot="1" x14ac:dyDescent="0.3">
      <c r="A30" s="8"/>
      <c r="B30" s="223"/>
      <c r="C30" s="184" t="s">
        <v>17</v>
      </c>
      <c r="D30" s="326"/>
      <c r="E30" s="326"/>
      <c r="F30" s="326"/>
      <c r="G30" s="326"/>
      <c r="H30" s="326"/>
      <c r="I30" s="326"/>
      <c r="J30" s="326"/>
      <c r="K30" s="326"/>
      <c r="L30" s="326"/>
      <c r="M30" s="326"/>
      <c r="N30" s="326"/>
      <c r="O30" s="326"/>
    </row>
    <row r="31" spans="1:15" s="16" customFormat="1" ht="18.75" hidden="1" thickBot="1" x14ac:dyDescent="0.3">
      <c r="A31" s="15"/>
      <c r="B31" s="228"/>
      <c r="C31" s="190" t="s">
        <v>6</v>
      </c>
      <c r="D31" s="327">
        <f t="shared" ref="D31:L31" si="10">D23</f>
        <v>6247</v>
      </c>
      <c r="E31" s="327">
        <f t="shared" si="10"/>
        <v>11252</v>
      </c>
      <c r="F31" s="327">
        <f t="shared" si="10"/>
        <v>8563</v>
      </c>
      <c r="G31" s="327">
        <f t="shared" si="10"/>
        <v>7898</v>
      </c>
      <c r="H31" s="327">
        <f t="shared" si="10"/>
        <v>113014</v>
      </c>
      <c r="I31" s="327">
        <f t="shared" si="10"/>
        <v>41517</v>
      </c>
      <c r="J31" s="327">
        <f t="shared" si="10"/>
        <v>73504</v>
      </c>
      <c r="K31" s="327">
        <f t="shared" si="10"/>
        <v>32550</v>
      </c>
      <c r="L31" s="327">
        <f t="shared" si="10"/>
        <v>25841</v>
      </c>
      <c r="M31" s="327">
        <f t="shared" ref="M31:O31" si="11">M23</f>
        <v>41029.737616424281</v>
      </c>
      <c r="N31" s="327">
        <f t="shared" si="11"/>
        <v>64979.27719419622</v>
      </c>
      <c r="O31" s="327">
        <f t="shared" si="11"/>
        <v>64084.305267721422</v>
      </c>
    </row>
    <row r="32" spans="1:15" s="16" customFormat="1" ht="18.75" hidden="1" thickBot="1" x14ac:dyDescent="0.3">
      <c r="A32" s="15"/>
      <c r="B32" s="228"/>
      <c r="C32" s="190" t="s">
        <v>7</v>
      </c>
      <c r="D32" s="328">
        <f t="shared" ref="D32:G32" si="12">D29</f>
        <v>232</v>
      </c>
      <c r="E32" s="328">
        <f t="shared" si="12"/>
        <v>278</v>
      </c>
      <c r="F32" s="328">
        <f t="shared" si="12"/>
        <v>268</v>
      </c>
      <c r="G32" s="328">
        <f t="shared" si="12"/>
        <v>306</v>
      </c>
      <c r="H32" s="328">
        <f>H29</f>
        <v>325</v>
      </c>
      <c r="I32" s="328">
        <f>I29</f>
        <v>289</v>
      </c>
      <c r="J32" s="328">
        <f>J29</f>
        <v>371</v>
      </c>
      <c r="K32" s="328">
        <f>K29</f>
        <v>478</v>
      </c>
      <c r="L32" s="328">
        <f>L29</f>
        <v>170</v>
      </c>
      <c r="M32" s="328">
        <f t="shared" ref="M32:O32" si="13">M29</f>
        <v>393.61240684864288</v>
      </c>
      <c r="N32" s="328">
        <f t="shared" si="13"/>
        <v>392.66760925963172</v>
      </c>
      <c r="O32" s="328">
        <f t="shared" si="13"/>
        <v>392.77705917643402</v>
      </c>
    </row>
    <row r="33" spans="1:15" s="13" customFormat="1" ht="23.25" customHeight="1" thickBot="1" x14ac:dyDescent="0.3">
      <c r="A33" s="8"/>
      <c r="B33" s="223"/>
      <c r="C33" s="184" t="s">
        <v>19</v>
      </c>
      <c r="D33" s="324">
        <f t="shared" ref="D33:L33" si="14">SUM(D31:D32)</f>
        <v>6479</v>
      </c>
      <c r="E33" s="324">
        <f t="shared" si="14"/>
        <v>11530</v>
      </c>
      <c r="F33" s="324">
        <f t="shared" si="14"/>
        <v>8831</v>
      </c>
      <c r="G33" s="324">
        <f t="shared" si="14"/>
        <v>8204</v>
      </c>
      <c r="H33" s="324">
        <f t="shared" si="14"/>
        <v>113339</v>
      </c>
      <c r="I33" s="324">
        <f t="shared" si="14"/>
        <v>41806</v>
      </c>
      <c r="J33" s="324">
        <f t="shared" si="14"/>
        <v>73875</v>
      </c>
      <c r="K33" s="324">
        <f t="shared" si="14"/>
        <v>33028</v>
      </c>
      <c r="L33" s="324">
        <f t="shared" si="14"/>
        <v>26011</v>
      </c>
      <c r="M33" s="324">
        <f t="shared" ref="M33:O33" si="15">SUM(M31:M32)</f>
        <v>41423.350023272928</v>
      </c>
      <c r="N33" s="324">
        <f t="shared" si="15"/>
        <v>65371.944803455852</v>
      </c>
      <c r="O33" s="324">
        <f t="shared" si="15"/>
        <v>64477.082326897857</v>
      </c>
    </row>
    <row r="34" spans="1:15" x14ac:dyDescent="0.2">
      <c r="D34" s="52"/>
      <c r="E34" s="78"/>
      <c r="F34" s="78"/>
      <c r="G34" s="78"/>
      <c r="H34" s="78"/>
      <c r="I34" s="78"/>
      <c r="J34" s="78"/>
      <c r="K34" s="78"/>
      <c r="L34" s="78"/>
      <c r="M34" s="78"/>
      <c r="N34" s="78"/>
      <c r="O34" s="78"/>
    </row>
    <row r="35" spans="1:15" x14ac:dyDescent="0.2">
      <c r="K35" s="75" t="s">
        <v>5</v>
      </c>
    </row>
  </sheetData>
  <mergeCells count="7">
    <mergeCell ref="C24:O24"/>
    <mergeCell ref="M1:O1"/>
    <mergeCell ref="C3:O3"/>
    <mergeCell ref="C4:O4"/>
    <mergeCell ref="C5:O5"/>
    <mergeCell ref="C11:O11"/>
    <mergeCell ref="C6:L6"/>
  </mergeCells>
  <printOptions horizontalCentered="1" verticalCentered="1"/>
  <pageMargins left="0.5" right="0.5" top="0.22" bottom="1.18" header="0.22" footer="0.23"/>
  <pageSetup scale="47" orientation="landscape"/>
  <headerFooter alignWithMargins="0"/>
  <ignoredErrors>
    <ignoredError sqref="D19 F19" formulaRange="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FF66FF"/>
  </sheetPr>
  <dimension ref="B1:Q87"/>
  <sheetViews>
    <sheetView showGridLines="0" zoomScale="75" zoomScaleNormal="75" zoomScalePageLayoutView="80" workbookViewId="0">
      <selection activeCell="C16" sqref="C16"/>
    </sheetView>
  </sheetViews>
  <sheetFormatPr defaultRowHeight="12.75" x14ac:dyDescent="0.2"/>
  <cols>
    <col min="2" max="2" width="24.7109375" customWidth="1"/>
    <col min="3" max="3" width="17.85546875" style="80" customWidth="1"/>
    <col min="4" max="4" width="33.140625" customWidth="1"/>
    <col min="5" max="5" width="17.85546875" customWidth="1"/>
    <col min="6" max="6" width="9" customWidth="1"/>
    <col min="7" max="7" width="23.28515625" customWidth="1"/>
    <col min="8" max="8" width="22.42578125" customWidth="1"/>
    <col min="9" max="9" width="31.5703125" style="80" customWidth="1"/>
    <col min="10" max="10" width="13.28515625" style="133" customWidth="1"/>
    <col min="11" max="11" width="16" style="104" customWidth="1"/>
    <col min="14" max="14" width="7.5703125" customWidth="1"/>
    <col min="15" max="15" width="0.5703125" customWidth="1"/>
    <col min="16" max="16" width="11.5703125" bestFit="1" customWidth="1"/>
    <col min="256" max="256" width="24.7109375" customWidth="1"/>
    <col min="257" max="257" width="17.85546875" customWidth="1"/>
    <col min="258" max="258" width="20.7109375" customWidth="1"/>
    <col min="259" max="259" width="16.5703125" customWidth="1"/>
    <col min="260" max="260" width="7.140625" customWidth="1"/>
    <col min="261" max="261" width="15.140625" customWidth="1"/>
    <col min="262" max="262" width="6.28515625" customWidth="1"/>
    <col min="263" max="263" width="19.7109375" customWidth="1"/>
    <col min="264" max="264" width="22.42578125" customWidth="1"/>
    <col min="265" max="265" width="31.5703125" customWidth="1"/>
    <col min="266" max="266" width="10.85546875" customWidth="1"/>
    <col min="267" max="267" width="16" customWidth="1"/>
    <col min="270" max="270" width="7.5703125" customWidth="1"/>
    <col min="271" max="271" width="0.5703125" customWidth="1"/>
    <col min="272" max="272" width="11.5703125" bestFit="1" customWidth="1"/>
    <col min="512" max="512" width="24.7109375" customWidth="1"/>
    <col min="513" max="513" width="17.85546875" customWidth="1"/>
    <col min="514" max="514" width="20.7109375" customWidth="1"/>
    <col min="515" max="515" width="16.5703125" customWidth="1"/>
    <col min="516" max="516" width="7.140625" customWidth="1"/>
    <col min="517" max="517" width="15.140625" customWidth="1"/>
    <col min="518" max="518" width="6.28515625" customWidth="1"/>
    <col min="519" max="519" width="19.7109375" customWidth="1"/>
    <col min="520" max="520" width="22.42578125" customWidth="1"/>
    <col min="521" max="521" width="31.5703125" customWidth="1"/>
    <col min="522" max="522" width="10.85546875" customWidth="1"/>
    <col min="523" max="523" width="16" customWidth="1"/>
    <col min="526" max="526" width="7.5703125" customWidth="1"/>
    <col min="527" max="527" width="0.5703125" customWidth="1"/>
    <col min="528" max="528" width="11.5703125" bestFit="1" customWidth="1"/>
    <col min="768" max="768" width="24.7109375" customWidth="1"/>
    <col min="769" max="769" width="17.85546875" customWidth="1"/>
    <col min="770" max="770" width="20.7109375" customWidth="1"/>
    <col min="771" max="771" width="16.5703125" customWidth="1"/>
    <col min="772" max="772" width="7.140625" customWidth="1"/>
    <col min="773" max="773" width="15.140625" customWidth="1"/>
    <col min="774" max="774" width="6.28515625" customWidth="1"/>
    <col min="775" max="775" width="19.7109375" customWidth="1"/>
    <col min="776" max="776" width="22.42578125" customWidth="1"/>
    <col min="777" max="777" width="31.5703125" customWidth="1"/>
    <col min="778" max="778" width="10.85546875" customWidth="1"/>
    <col min="779" max="779" width="16" customWidth="1"/>
    <col min="782" max="782" width="7.5703125" customWidth="1"/>
    <col min="783" max="783" width="0.5703125" customWidth="1"/>
    <col min="784" max="784" width="11.5703125" bestFit="1" customWidth="1"/>
    <col min="1024" max="1024" width="24.7109375" customWidth="1"/>
    <col min="1025" max="1025" width="17.85546875" customWidth="1"/>
    <col min="1026" max="1026" width="20.7109375" customWidth="1"/>
    <col min="1027" max="1027" width="16.5703125" customWidth="1"/>
    <col min="1028" max="1028" width="7.140625" customWidth="1"/>
    <col min="1029" max="1029" width="15.140625" customWidth="1"/>
    <col min="1030" max="1030" width="6.28515625" customWidth="1"/>
    <col min="1031" max="1031" width="19.7109375" customWidth="1"/>
    <col min="1032" max="1032" width="22.42578125" customWidth="1"/>
    <col min="1033" max="1033" width="31.5703125" customWidth="1"/>
    <col min="1034" max="1034" width="10.85546875" customWidth="1"/>
    <col min="1035" max="1035" width="16" customWidth="1"/>
    <col min="1038" max="1038" width="7.5703125" customWidth="1"/>
    <col min="1039" max="1039" width="0.5703125" customWidth="1"/>
    <col min="1040" max="1040" width="11.5703125" bestFit="1" customWidth="1"/>
    <col min="1280" max="1280" width="24.7109375" customWidth="1"/>
    <col min="1281" max="1281" width="17.85546875" customWidth="1"/>
    <col min="1282" max="1282" width="20.7109375" customWidth="1"/>
    <col min="1283" max="1283" width="16.5703125" customWidth="1"/>
    <col min="1284" max="1284" width="7.140625" customWidth="1"/>
    <col min="1285" max="1285" width="15.140625" customWidth="1"/>
    <col min="1286" max="1286" width="6.28515625" customWidth="1"/>
    <col min="1287" max="1287" width="19.7109375" customWidth="1"/>
    <col min="1288" max="1288" width="22.42578125" customWidth="1"/>
    <col min="1289" max="1289" width="31.5703125" customWidth="1"/>
    <col min="1290" max="1290" width="10.85546875" customWidth="1"/>
    <col min="1291" max="1291" width="16" customWidth="1"/>
    <col min="1294" max="1294" width="7.5703125" customWidth="1"/>
    <col min="1295" max="1295" width="0.5703125" customWidth="1"/>
    <col min="1296" max="1296" width="11.5703125" bestFit="1" customWidth="1"/>
    <col min="1536" max="1536" width="24.7109375" customWidth="1"/>
    <col min="1537" max="1537" width="17.85546875" customWidth="1"/>
    <col min="1538" max="1538" width="20.7109375" customWidth="1"/>
    <col min="1539" max="1539" width="16.5703125" customWidth="1"/>
    <col min="1540" max="1540" width="7.140625" customWidth="1"/>
    <col min="1541" max="1541" width="15.140625" customWidth="1"/>
    <col min="1542" max="1542" width="6.28515625" customWidth="1"/>
    <col min="1543" max="1543" width="19.7109375" customWidth="1"/>
    <col min="1544" max="1544" width="22.42578125" customWidth="1"/>
    <col min="1545" max="1545" width="31.5703125" customWidth="1"/>
    <col min="1546" max="1546" width="10.85546875" customWidth="1"/>
    <col min="1547" max="1547" width="16" customWidth="1"/>
    <col min="1550" max="1550" width="7.5703125" customWidth="1"/>
    <col min="1551" max="1551" width="0.5703125" customWidth="1"/>
    <col min="1552" max="1552" width="11.5703125" bestFit="1" customWidth="1"/>
    <col min="1792" max="1792" width="24.7109375" customWidth="1"/>
    <col min="1793" max="1793" width="17.85546875" customWidth="1"/>
    <col min="1794" max="1794" width="20.7109375" customWidth="1"/>
    <col min="1795" max="1795" width="16.5703125" customWidth="1"/>
    <col min="1796" max="1796" width="7.140625" customWidth="1"/>
    <col min="1797" max="1797" width="15.140625" customWidth="1"/>
    <col min="1798" max="1798" width="6.28515625" customWidth="1"/>
    <col min="1799" max="1799" width="19.7109375" customWidth="1"/>
    <col min="1800" max="1800" width="22.42578125" customWidth="1"/>
    <col min="1801" max="1801" width="31.5703125" customWidth="1"/>
    <col min="1802" max="1802" width="10.85546875" customWidth="1"/>
    <col min="1803" max="1803" width="16" customWidth="1"/>
    <col min="1806" max="1806" width="7.5703125" customWidth="1"/>
    <col min="1807" max="1807" width="0.5703125" customWidth="1"/>
    <col min="1808" max="1808" width="11.5703125" bestFit="1" customWidth="1"/>
    <col min="2048" max="2048" width="24.7109375" customWidth="1"/>
    <col min="2049" max="2049" width="17.85546875" customWidth="1"/>
    <col min="2050" max="2050" width="20.7109375" customWidth="1"/>
    <col min="2051" max="2051" width="16.5703125" customWidth="1"/>
    <col min="2052" max="2052" width="7.140625" customWidth="1"/>
    <col min="2053" max="2053" width="15.140625" customWidth="1"/>
    <col min="2054" max="2054" width="6.28515625" customWidth="1"/>
    <col min="2055" max="2055" width="19.7109375" customWidth="1"/>
    <col min="2056" max="2056" width="22.42578125" customWidth="1"/>
    <col min="2057" max="2057" width="31.5703125" customWidth="1"/>
    <col min="2058" max="2058" width="10.85546875" customWidth="1"/>
    <col min="2059" max="2059" width="16" customWidth="1"/>
    <col min="2062" max="2062" width="7.5703125" customWidth="1"/>
    <col min="2063" max="2063" width="0.5703125" customWidth="1"/>
    <col min="2064" max="2064" width="11.5703125" bestFit="1" customWidth="1"/>
    <col min="2304" max="2304" width="24.7109375" customWidth="1"/>
    <col min="2305" max="2305" width="17.85546875" customWidth="1"/>
    <col min="2306" max="2306" width="20.7109375" customWidth="1"/>
    <col min="2307" max="2307" width="16.5703125" customWidth="1"/>
    <col min="2308" max="2308" width="7.140625" customWidth="1"/>
    <col min="2309" max="2309" width="15.140625" customWidth="1"/>
    <col min="2310" max="2310" width="6.28515625" customWidth="1"/>
    <col min="2311" max="2311" width="19.7109375" customWidth="1"/>
    <col min="2312" max="2312" width="22.42578125" customWidth="1"/>
    <col min="2313" max="2313" width="31.5703125" customWidth="1"/>
    <col min="2314" max="2314" width="10.85546875" customWidth="1"/>
    <col min="2315" max="2315" width="16" customWidth="1"/>
    <col min="2318" max="2318" width="7.5703125" customWidth="1"/>
    <col min="2319" max="2319" width="0.5703125" customWidth="1"/>
    <col min="2320" max="2320" width="11.5703125" bestFit="1" customWidth="1"/>
    <col min="2560" max="2560" width="24.7109375" customWidth="1"/>
    <col min="2561" max="2561" width="17.85546875" customWidth="1"/>
    <col min="2562" max="2562" width="20.7109375" customWidth="1"/>
    <col min="2563" max="2563" width="16.5703125" customWidth="1"/>
    <col min="2564" max="2564" width="7.140625" customWidth="1"/>
    <col min="2565" max="2565" width="15.140625" customWidth="1"/>
    <col min="2566" max="2566" width="6.28515625" customWidth="1"/>
    <col min="2567" max="2567" width="19.7109375" customWidth="1"/>
    <col min="2568" max="2568" width="22.42578125" customWidth="1"/>
    <col min="2569" max="2569" width="31.5703125" customWidth="1"/>
    <col min="2570" max="2570" width="10.85546875" customWidth="1"/>
    <col min="2571" max="2571" width="16" customWidth="1"/>
    <col min="2574" max="2574" width="7.5703125" customWidth="1"/>
    <col min="2575" max="2575" width="0.5703125" customWidth="1"/>
    <col min="2576" max="2576" width="11.5703125" bestFit="1" customWidth="1"/>
    <col min="2816" max="2816" width="24.7109375" customWidth="1"/>
    <col min="2817" max="2817" width="17.85546875" customWidth="1"/>
    <col min="2818" max="2818" width="20.7109375" customWidth="1"/>
    <col min="2819" max="2819" width="16.5703125" customWidth="1"/>
    <col min="2820" max="2820" width="7.140625" customWidth="1"/>
    <col min="2821" max="2821" width="15.140625" customWidth="1"/>
    <col min="2822" max="2822" width="6.28515625" customWidth="1"/>
    <col min="2823" max="2823" width="19.7109375" customWidth="1"/>
    <col min="2824" max="2824" width="22.42578125" customWidth="1"/>
    <col min="2825" max="2825" width="31.5703125" customWidth="1"/>
    <col min="2826" max="2826" width="10.85546875" customWidth="1"/>
    <col min="2827" max="2827" width="16" customWidth="1"/>
    <col min="2830" max="2830" width="7.5703125" customWidth="1"/>
    <col min="2831" max="2831" width="0.5703125" customWidth="1"/>
    <col min="2832" max="2832" width="11.5703125" bestFit="1" customWidth="1"/>
    <col min="3072" max="3072" width="24.7109375" customWidth="1"/>
    <col min="3073" max="3073" width="17.85546875" customWidth="1"/>
    <col min="3074" max="3074" width="20.7109375" customWidth="1"/>
    <col min="3075" max="3075" width="16.5703125" customWidth="1"/>
    <col min="3076" max="3076" width="7.140625" customWidth="1"/>
    <col min="3077" max="3077" width="15.140625" customWidth="1"/>
    <col min="3078" max="3078" width="6.28515625" customWidth="1"/>
    <col min="3079" max="3079" width="19.7109375" customWidth="1"/>
    <col min="3080" max="3080" width="22.42578125" customWidth="1"/>
    <col min="3081" max="3081" width="31.5703125" customWidth="1"/>
    <col min="3082" max="3082" width="10.85546875" customWidth="1"/>
    <col min="3083" max="3083" width="16" customWidth="1"/>
    <col min="3086" max="3086" width="7.5703125" customWidth="1"/>
    <col min="3087" max="3087" width="0.5703125" customWidth="1"/>
    <col min="3088" max="3088" width="11.5703125" bestFit="1" customWidth="1"/>
    <col min="3328" max="3328" width="24.7109375" customWidth="1"/>
    <col min="3329" max="3329" width="17.85546875" customWidth="1"/>
    <col min="3330" max="3330" width="20.7109375" customWidth="1"/>
    <col min="3331" max="3331" width="16.5703125" customWidth="1"/>
    <col min="3332" max="3332" width="7.140625" customWidth="1"/>
    <col min="3333" max="3333" width="15.140625" customWidth="1"/>
    <col min="3334" max="3334" width="6.28515625" customWidth="1"/>
    <col min="3335" max="3335" width="19.7109375" customWidth="1"/>
    <col min="3336" max="3336" width="22.42578125" customWidth="1"/>
    <col min="3337" max="3337" width="31.5703125" customWidth="1"/>
    <col min="3338" max="3338" width="10.85546875" customWidth="1"/>
    <col min="3339" max="3339" width="16" customWidth="1"/>
    <col min="3342" max="3342" width="7.5703125" customWidth="1"/>
    <col min="3343" max="3343" width="0.5703125" customWidth="1"/>
    <col min="3344" max="3344" width="11.5703125" bestFit="1" customWidth="1"/>
    <col min="3584" max="3584" width="24.7109375" customWidth="1"/>
    <col min="3585" max="3585" width="17.85546875" customWidth="1"/>
    <col min="3586" max="3586" width="20.7109375" customWidth="1"/>
    <col min="3587" max="3587" width="16.5703125" customWidth="1"/>
    <col min="3588" max="3588" width="7.140625" customWidth="1"/>
    <col min="3589" max="3589" width="15.140625" customWidth="1"/>
    <col min="3590" max="3590" width="6.28515625" customWidth="1"/>
    <col min="3591" max="3591" width="19.7109375" customWidth="1"/>
    <col min="3592" max="3592" width="22.42578125" customWidth="1"/>
    <col min="3593" max="3593" width="31.5703125" customWidth="1"/>
    <col min="3594" max="3594" width="10.85546875" customWidth="1"/>
    <col min="3595" max="3595" width="16" customWidth="1"/>
    <col min="3598" max="3598" width="7.5703125" customWidth="1"/>
    <col min="3599" max="3599" width="0.5703125" customWidth="1"/>
    <col min="3600" max="3600" width="11.5703125" bestFit="1" customWidth="1"/>
    <col min="3840" max="3840" width="24.7109375" customWidth="1"/>
    <col min="3841" max="3841" width="17.85546875" customWidth="1"/>
    <col min="3842" max="3842" width="20.7109375" customWidth="1"/>
    <col min="3843" max="3843" width="16.5703125" customWidth="1"/>
    <col min="3844" max="3844" width="7.140625" customWidth="1"/>
    <col min="3845" max="3845" width="15.140625" customWidth="1"/>
    <col min="3846" max="3846" width="6.28515625" customWidth="1"/>
    <col min="3847" max="3847" width="19.7109375" customWidth="1"/>
    <col min="3848" max="3848" width="22.42578125" customWidth="1"/>
    <col min="3849" max="3849" width="31.5703125" customWidth="1"/>
    <col min="3850" max="3850" width="10.85546875" customWidth="1"/>
    <col min="3851" max="3851" width="16" customWidth="1"/>
    <col min="3854" max="3854" width="7.5703125" customWidth="1"/>
    <col min="3855" max="3855" width="0.5703125" customWidth="1"/>
    <col min="3856" max="3856" width="11.5703125" bestFit="1" customWidth="1"/>
    <col min="4096" max="4096" width="24.7109375" customWidth="1"/>
    <col min="4097" max="4097" width="17.85546875" customWidth="1"/>
    <col min="4098" max="4098" width="20.7109375" customWidth="1"/>
    <col min="4099" max="4099" width="16.5703125" customWidth="1"/>
    <col min="4100" max="4100" width="7.140625" customWidth="1"/>
    <col min="4101" max="4101" width="15.140625" customWidth="1"/>
    <col min="4102" max="4102" width="6.28515625" customWidth="1"/>
    <col min="4103" max="4103" width="19.7109375" customWidth="1"/>
    <col min="4104" max="4104" width="22.42578125" customWidth="1"/>
    <col min="4105" max="4105" width="31.5703125" customWidth="1"/>
    <col min="4106" max="4106" width="10.85546875" customWidth="1"/>
    <col min="4107" max="4107" width="16" customWidth="1"/>
    <col min="4110" max="4110" width="7.5703125" customWidth="1"/>
    <col min="4111" max="4111" width="0.5703125" customWidth="1"/>
    <col min="4112" max="4112" width="11.5703125" bestFit="1" customWidth="1"/>
    <col min="4352" max="4352" width="24.7109375" customWidth="1"/>
    <col min="4353" max="4353" width="17.85546875" customWidth="1"/>
    <col min="4354" max="4354" width="20.7109375" customWidth="1"/>
    <col min="4355" max="4355" width="16.5703125" customWidth="1"/>
    <col min="4356" max="4356" width="7.140625" customWidth="1"/>
    <col min="4357" max="4357" width="15.140625" customWidth="1"/>
    <col min="4358" max="4358" width="6.28515625" customWidth="1"/>
    <col min="4359" max="4359" width="19.7109375" customWidth="1"/>
    <col min="4360" max="4360" width="22.42578125" customWidth="1"/>
    <col min="4361" max="4361" width="31.5703125" customWidth="1"/>
    <col min="4362" max="4362" width="10.85546875" customWidth="1"/>
    <col min="4363" max="4363" width="16" customWidth="1"/>
    <col min="4366" max="4366" width="7.5703125" customWidth="1"/>
    <col min="4367" max="4367" width="0.5703125" customWidth="1"/>
    <col min="4368" max="4368" width="11.5703125" bestFit="1" customWidth="1"/>
    <col min="4608" max="4608" width="24.7109375" customWidth="1"/>
    <col min="4609" max="4609" width="17.85546875" customWidth="1"/>
    <col min="4610" max="4610" width="20.7109375" customWidth="1"/>
    <col min="4611" max="4611" width="16.5703125" customWidth="1"/>
    <col min="4612" max="4612" width="7.140625" customWidth="1"/>
    <col min="4613" max="4613" width="15.140625" customWidth="1"/>
    <col min="4614" max="4614" width="6.28515625" customWidth="1"/>
    <col min="4615" max="4615" width="19.7109375" customWidth="1"/>
    <col min="4616" max="4616" width="22.42578125" customWidth="1"/>
    <col min="4617" max="4617" width="31.5703125" customWidth="1"/>
    <col min="4618" max="4618" width="10.85546875" customWidth="1"/>
    <col min="4619" max="4619" width="16" customWidth="1"/>
    <col min="4622" max="4622" width="7.5703125" customWidth="1"/>
    <col min="4623" max="4623" width="0.5703125" customWidth="1"/>
    <col min="4624" max="4624" width="11.5703125" bestFit="1" customWidth="1"/>
    <col min="4864" max="4864" width="24.7109375" customWidth="1"/>
    <col min="4865" max="4865" width="17.85546875" customWidth="1"/>
    <col min="4866" max="4866" width="20.7109375" customWidth="1"/>
    <col min="4867" max="4867" width="16.5703125" customWidth="1"/>
    <col min="4868" max="4868" width="7.140625" customWidth="1"/>
    <col min="4869" max="4869" width="15.140625" customWidth="1"/>
    <col min="4870" max="4870" width="6.28515625" customWidth="1"/>
    <col min="4871" max="4871" width="19.7109375" customWidth="1"/>
    <col min="4872" max="4872" width="22.42578125" customWidth="1"/>
    <col min="4873" max="4873" width="31.5703125" customWidth="1"/>
    <col min="4874" max="4874" width="10.85546875" customWidth="1"/>
    <col min="4875" max="4875" width="16" customWidth="1"/>
    <col min="4878" max="4878" width="7.5703125" customWidth="1"/>
    <col min="4879" max="4879" width="0.5703125" customWidth="1"/>
    <col min="4880" max="4880" width="11.5703125" bestFit="1" customWidth="1"/>
    <col min="5120" max="5120" width="24.7109375" customWidth="1"/>
    <col min="5121" max="5121" width="17.85546875" customWidth="1"/>
    <col min="5122" max="5122" width="20.7109375" customWidth="1"/>
    <col min="5123" max="5123" width="16.5703125" customWidth="1"/>
    <col min="5124" max="5124" width="7.140625" customWidth="1"/>
    <col min="5125" max="5125" width="15.140625" customWidth="1"/>
    <col min="5126" max="5126" width="6.28515625" customWidth="1"/>
    <col min="5127" max="5127" width="19.7109375" customWidth="1"/>
    <col min="5128" max="5128" width="22.42578125" customWidth="1"/>
    <col min="5129" max="5129" width="31.5703125" customWidth="1"/>
    <col min="5130" max="5130" width="10.85546875" customWidth="1"/>
    <col min="5131" max="5131" width="16" customWidth="1"/>
    <col min="5134" max="5134" width="7.5703125" customWidth="1"/>
    <col min="5135" max="5135" width="0.5703125" customWidth="1"/>
    <col min="5136" max="5136" width="11.5703125" bestFit="1" customWidth="1"/>
    <col min="5376" max="5376" width="24.7109375" customWidth="1"/>
    <col min="5377" max="5377" width="17.85546875" customWidth="1"/>
    <col min="5378" max="5378" width="20.7109375" customWidth="1"/>
    <col min="5379" max="5379" width="16.5703125" customWidth="1"/>
    <col min="5380" max="5380" width="7.140625" customWidth="1"/>
    <col min="5381" max="5381" width="15.140625" customWidth="1"/>
    <col min="5382" max="5382" width="6.28515625" customWidth="1"/>
    <col min="5383" max="5383" width="19.7109375" customWidth="1"/>
    <col min="5384" max="5384" width="22.42578125" customWidth="1"/>
    <col min="5385" max="5385" width="31.5703125" customWidth="1"/>
    <col min="5386" max="5386" width="10.85546875" customWidth="1"/>
    <col min="5387" max="5387" width="16" customWidth="1"/>
    <col min="5390" max="5390" width="7.5703125" customWidth="1"/>
    <col min="5391" max="5391" width="0.5703125" customWidth="1"/>
    <col min="5392" max="5392" width="11.5703125" bestFit="1" customWidth="1"/>
    <col min="5632" max="5632" width="24.7109375" customWidth="1"/>
    <col min="5633" max="5633" width="17.85546875" customWidth="1"/>
    <col min="5634" max="5634" width="20.7109375" customWidth="1"/>
    <col min="5635" max="5635" width="16.5703125" customWidth="1"/>
    <col min="5636" max="5636" width="7.140625" customWidth="1"/>
    <col min="5637" max="5637" width="15.140625" customWidth="1"/>
    <col min="5638" max="5638" width="6.28515625" customWidth="1"/>
    <col min="5639" max="5639" width="19.7109375" customWidth="1"/>
    <col min="5640" max="5640" width="22.42578125" customWidth="1"/>
    <col min="5641" max="5641" width="31.5703125" customWidth="1"/>
    <col min="5642" max="5642" width="10.85546875" customWidth="1"/>
    <col min="5643" max="5643" width="16" customWidth="1"/>
    <col min="5646" max="5646" width="7.5703125" customWidth="1"/>
    <col min="5647" max="5647" width="0.5703125" customWidth="1"/>
    <col min="5648" max="5648" width="11.5703125" bestFit="1" customWidth="1"/>
    <col min="5888" max="5888" width="24.7109375" customWidth="1"/>
    <col min="5889" max="5889" width="17.85546875" customWidth="1"/>
    <col min="5890" max="5890" width="20.7109375" customWidth="1"/>
    <col min="5891" max="5891" width="16.5703125" customWidth="1"/>
    <col min="5892" max="5892" width="7.140625" customWidth="1"/>
    <col min="5893" max="5893" width="15.140625" customWidth="1"/>
    <col min="5894" max="5894" width="6.28515625" customWidth="1"/>
    <col min="5895" max="5895" width="19.7109375" customWidth="1"/>
    <col min="5896" max="5896" width="22.42578125" customWidth="1"/>
    <col min="5897" max="5897" width="31.5703125" customWidth="1"/>
    <col min="5898" max="5898" width="10.85546875" customWidth="1"/>
    <col min="5899" max="5899" width="16" customWidth="1"/>
    <col min="5902" max="5902" width="7.5703125" customWidth="1"/>
    <col min="5903" max="5903" width="0.5703125" customWidth="1"/>
    <col min="5904" max="5904" width="11.5703125" bestFit="1" customWidth="1"/>
    <col min="6144" max="6144" width="24.7109375" customWidth="1"/>
    <col min="6145" max="6145" width="17.85546875" customWidth="1"/>
    <col min="6146" max="6146" width="20.7109375" customWidth="1"/>
    <col min="6147" max="6147" width="16.5703125" customWidth="1"/>
    <col min="6148" max="6148" width="7.140625" customWidth="1"/>
    <col min="6149" max="6149" width="15.140625" customWidth="1"/>
    <col min="6150" max="6150" width="6.28515625" customWidth="1"/>
    <col min="6151" max="6151" width="19.7109375" customWidth="1"/>
    <col min="6152" max="6152" width="22.42578125" customWidth="1"/>
    <col min="6153" max="6153" width="31.5703125" customWidth="1"/>
    <col min="6154" max="6154" width="10.85546875" customWidth="1"/>
    <col min="6155" max="6155" width="16" customWidth="1"/>
    <col min="6158" max="6158" width="7.5703125" customWidth="1"/>
    <col min="6159" max="6159" width="0.5703125" customWidth="1"/>
    <col min="6160" max="6160" width="11.5703125" bestFit="1" customWidth="1"/>
    <col min="6400" max="6400" width="24.7109375" customWidth="1"/>
    <col min="6401" max="6401" width="17.85546875" customWidth="1"/>
    <col min="6402" max="6402" width="20.7109375" customWidth="1"/>
    <col min="6403" max="6403" width="16.5703125" customWidth="1"/>
    <col min="6404" max="6404" width="7.140625" customWidth="1"/>
    <col min="6405" max="6405" width="15.140625" customWidth="1"/>
    <col min="6406" max="6406" width="6.28515625" customWidth="1"/>
    <col min="6407" max="6407" width="19.7109375" customWidth="1"/>
    <col min="6408" max="6408" width="22.42578125" customWidth="1"/>
    <col min="6409" max="6409" width="31.5703125" customWidth="1"/>
    <col min="6410" max="6410" width="10.85546875" customWidth="1"/>
    <col min="6411" max="6411" width="16" customWidth="1"/>
    <col min="6414" max="6414" width="7.5703125" customWidth="1"/>
    <col min="6415" max="6415" width="0.5703125" customWidth="1"/>
    <col min="6416" max="6416" width="11.5703125" bestFit="1" customWidth="1"/>
    <col min="6656" max="6656" width="24.7109375" customWidth="1"/>
    <col min="6657" max="6657" width="17.85546875" customWidth="1"/>
    <col min="6658" max="6658" width="20.7109375" customWidth="1"/>
    <col min="6659" max="6659" width="16.5703125" customWidth="1"/>
    <col min="6660" max="6660" width="7.140625" customWidth="1"/>
    <col min="6661" max="6661" width="15.140625" customWidth="1"/>
    <col min="6662" max="6662" width="6.28515625" customWidth="1"/>
    <col min="6663" max="6663" width="19.7109375" customWidth="1"/>
    <col min="6664" max="6664" width="22.42578125" customWidth="1"/>
    <col min="6665" max="6665" width="31.5703125" customWidth="1"/>
    <col min="6666" max="6666" width="10.85546875" customWidth="1"/>
    <col min="6667" max="6667" width="16" customWidth="1"/>
    <col min="6670" max="6670" width="7.5703125" customWidth="1"/>
    <col min="6671" max="6671" width="0.5703125" customWidth="1"/>
    <col min="6672" max="6672" width="11.5703125" bestFit="1" customWidth="1"/>
    <col min="6912" max="6912" width="24.7109375" customWidth="1"/>
    <col min="6913" max="6913" width="17.85546875" customWidth="1"/>
    <col min="6914" max="6914" width="20.7109375" customWidth="1"/>
    <col min="6915" max="6915" width="16.5703125" customWidth="1"/>
    <col min="6916" max="6916" width="7.140625" customWidth="1"/>
    <col min="6917" max="6917" width="15.140625" customWidth="1"/>
    <col min="6918" max="6918" width="6.28515625" customWidth="1"/>
    <col min="6919" max="6919" width="19.7109375" customWidth="1"/>
    <col min="6920" max="6920" width="22.42578125" customWidth="1"/>
    <col min="6921" max="6921" width="31.5703125" customWidth="1"/>
    <col min="6922" max="6922" width="10.85546875" customWidth="1"/>
    <col min="6923" max="6923" width="16" customWidth="1"/>
    <col min="6926" max="6926" width="7.5703125" customWidth="1"/>
    <col min="6927" max="6927" width="0.5703125" customWidth="1"/>
    <col min="6928" max="6928" width="11.5703125" bestFit="1" customWidth="1"/>
    <col min="7168" max="7168" width="24.7109375" customWidth="1"/>
    <col min="7169" max="7169" width="17.85546875" customWidth="1"/>
    <col min="7170" max="7170" width="20.7109375" customWidth="1"/>
    <col min="7171" max="7171" width="16.5703125" customWidth="1"/>
    <col min="7172" max="7172" width="7.140625" customWidth="1"/>
    <col min="7173" max="7173" width="15.140625" customWidth="1"/>
    <col min="7174" max="7174" width="6.28515625" customWidth="1"/>
    <col min="7175" max="7175" width="19.7109375" customWidth="1"/>
    <col min="7176" max="7176" width="22.42578125" customWidth="1"/>
    <col min="7177" max="7177" width="31.5703125" customWidth="1"/>
    <col min="7178" max="7178" width="10.85546875" customWidth="1"/>
    <col min="7179" max="7179" width="16" customWidth="1"/>
    <col min="7182" max="7182" width="7.5703125" customWidth="1"/>
    <col min="7183" max="7183" width="0.5703125" customWidth="1"/>
    <col min="7184" max="7184" width="11.5703125" bestFit="1" customWidth="1"/>
    <col min="7424" max="7424" width="24.7109375" customWidth="1"/>
    <col min="7425" max="7425" width="17.85546875" customWidth="1"/>
    <col min="7426" max="7426" width="20.7109375" customWidth="1"/>
    <col min="7427" max="7427" width="16.5703125" customWidth="1"/>
    <col min="7428" max="7428" width="7.140625" customWidth="1"/>
    <col min="7429" max="7429" width="15.140625" customWidth="1"/>
    <col min="7430" max="7430" width="6.28515625" customWidth="1"/>
    <col min="7431" max="7431" width="19.7109375" customWidth="1"/>
    <col min="7432" max="7432" width="22.42578125" customWidth="1"/>
    <col min="7433" max="7433" width="31.5703125" customWidth="1"/>
    <col min="7434" max="7434" width="10.85546875" customWidth="1"/>
    <col min="7435" max="7435" width="16" customWidth="1"/>
    <col min="7438" max="7438" width="7.5703125" customWidth="1"/>
    <col min="7439" max="7439" width="0.5703125" customWidth="1"/>
    <col min="7440" max="7440" width="11.5703125" bestFit="1" customWidth="1"/>
    <col min="7680" max="7680" width="24.7109375" customWidth="1"/>
    <col min="7681" max="7681" width="17.85546875" customWidth="1"/>
    <col min="7682" max="7682" width="20.7109375" customWidth="1"/>
    <col min="7683" max="7683" width="16.5703125" customWidth="1"/>
    <col min="7684" max="7684" width="7.140625" customWidth="1"/>
    <col min="7685" max="7685" width="15.140625" customWidth="1"/>
    <col min="7686" max="7686" width="6.28515625" customWidth="1"/>
    <col min="7687" max="7687" width="19.7109375" customWidth="1"/>
    <col min="7688" max="7688" width="22.42578125" customWidth="1"/>
    <col min="7689" max="7689" width="31.5703125" customWidth="1"/>
    <col min="7690" max="7690" width="10.85546875" customWidth="1"/>
    <col min="7691" max="7691" width="16" customWidth="1"/>
    <col min="7694" max="7694" width="7.5703125" customWidth="1"/>
    <col min="7695" max="7695" width="0.5703125" customWidth="1"/>
    <col min="7696" max="7696" width="11.5703125" bestFit="1" customWidth="1"/>
    <col min="7936" max="7936" width="24.7109375" customWidth="1"/>
    <col min="7937" max="7937" width="17.85546875" customWidth="1"/>
    <col min="7938" max="7938" width="20.7109375" customWidth="1"/>
    <col min="7939" max="7939" width="16.5703125" customWidth="1"/>
    <col min="7940" max="7940" width="7.140625" customWidth="1"/>
    <col min="7941" max="7941" width="15.140625" customWidth="1"/>
    <col min="7942" max="7942" width="6.28515625" customWidth="1"/>
    <col min="7943" max="7943" width="19.7109375" customWidth="1"/>
    <col min="7944" max="7944" width="22.42578125" customWidth="1"/>
    <col min="7945" max="7945" width="31.5703125" customWidth="1"/>
    <col min="7946" max="7946" width="10.85546875" customWidth="1"/>
    <col min="7947" max="7947" width="16" customWidth="1"/>
    <col min="7950" max="7950" width="7.5703125" customWidth="1"/>
    <col min="7951" max="7951" width="0.5703125" customWidth="1"/>
    <col min="7952" max="7952" width="11.5703125" bestFit="1" customWidth="1"/>
    <col min="8192" max="8192" width="24.7109375" customWidth="1"/>
    <col min="8193" max="8193" width="17.85546875" customWidth="1"/>
    <col min="8194" max="8194" width="20.7109375" customWidth="1"/>
    <col min="8195" max="8195" width="16.5703125" customWidth="1"/>
    <col min="8196" max="8196" width="7.140625" customWidth="1"/>
    <col min="8197" max="8197" width="15.140625" customWidth="1"/>
    <col min="8198" max="8198" width="6.28515625" customWidth="1"/>
    <col min="8199" max="8199" width="19.7109375" customWidth="1"/>
    <col min="8200" max="8200" width="22.42578125" customWidth="1"/>
    <col min="8201" max="8201" width="31.5703125" customWidth="1"/>
    <col min="8202" max="8202" width="10.85546875" customWidth="1"/>
    <col min="8203" max="8203" width="16" customWidth="1"/>
    <col min="8206" max="8206" width="7.5703125" customWidth="1"/>
    <col min="8207" max="8207" width="0.5703125" customWidth="1"/>
    <col min="8208" max="8208" width="11.5703125" bestFit="1" customWidth="1"/>
    <col min="8448" max="8448" width="24.7109375" customWidth="1"/>
    <col min="8449" max="8449" width="17.85546875" customWidth="1"/>
    <col min="8450" max="8450" width="20.7109375" customWidth="1"/>
    <col min="8451" max="8451" width="16.5703125" customWidth="1"/>
    <col min="8452" max="8452" width="7.140625" customWidth="1"/>
    <col min="8453" max="8453" width="15.140625" customWidth="1"/>
    <col min="8454" max="8454" width="6.28515625" customWidth="1"/>
    <col min="8455" max="8455" width="19.7109375" customWidth="1"/>
    <col min="8456" max="8456" width="22.42578125" customWidth="1"/>
    <col min="8457" max="8457" width="31.5703125" customWidth="1"/>
    <col min="8458" max="8458" width="10.85546875" customWidth="1"/>
    <col min="8459" max="8459" width="16" customWidth="1"/>
    <col min="8462" max="8462" width="7.5703125" customWidth="1"/>
    <col min="8463" max="8463" width="0.5703125" customWidth="1"/>
    <col min="8464" max="8464" width="11.5703125" bestFit="1" customWidth="1"/>
    <col min="8704" max="8704" width="24.7109375" customWidth="1"/>
    <col min="8705" max="8705" width="17.85546875" customWidth="1"/>
    <col min="8706" max="8706" width="20.7109375" customWidth="1"/>
    <col min="8707" max="8707" width="16.5703125" customWidth="1"/>
    <col min="8708" max="8708" width="7.140625" customWidth="1"/>
    <col min="8709" max="8709" width="15.140625" customWidth="1"/>
    <col min="8710" max="8710" width="6.28515625" customWidth="1"/>
    <col min="8711" max="8711" width="19.7109375" customWidth="1"/>
    <col min="8712" max="8712" width="22.42578125" customWidth="1"/>
    <col min="8713" max="8713" width="31.5703125" customWidth="1"/>
    <col min="8714" max="8714" width="10.85546875" customWidth="1"/>
    <col min="8715" max="8715" width="16" customWidth="1"/>
    <col min="8718" max="8718" width="7.5703125" customWidth="1"/>
    <col min="8719" max="8719" width="0.5703125" customWidth="1"/>
    <col min="8720" max="8720" width="11.5703125" bestFit="1" customWidth="1"/>
    <col min="8960" max="8960" width="24.7109375" customWidth="1"/>
    <col min="8961" max="8961" width="17.85546875" customWidth="1"/>
    <col min="8962" max="8962" width="20.7109375" customWidth="1"/>
    <col min="8963" max="8963" width="16.5703125" customWidth="1"/>
    <col min="8964" max="8964" width="7.140625" customWidth="1"/>
    <col min="8965" max="8965" width="15.140625" customWidth="1"/>
    <col min="8966" max="8966" width="6.28515625" customWidth="1"/>
    <col min="8967" max="8967" width="19.7109375" customWidth="1"/>
    <col min="8968" max="8968" width="22.42578125" customWidth="1"/>
    <col min="8969" max="8969" width="31.5703125" customWidth="1"/>
    <col min="8970" max="8970" width="10.85546875" customWidth="1"/>
    <col min="8971" max="8971" width="16" customWidth="1"/>
    <col min="8974" max="8974" width="7.5703125" customWidth="1"/>
    <col min="8975" max="8975" width="0.5703125" customWidth="1"/>
    <col min="8976" max="8976" width="11.5703125" bestFit="1" customWidth="1"/>
    <col min="9216" max="9216" width="24.7109375" customWidth="1"/>
    <col min="9217" max="9217" width="17.85546875" customWidth="1"/>
    <col min="9218" max="9218" width="20.7109375" customWidth="1"/>
    <col min="9219" max="9219" width="16.5703125" customWidth="1"/>
    <col min="9220" max="9220" width="7.140625" customWidth="1"/>
    <col min="9221" max="9221" width="15.140625" customWidth="1"/>
    <col min="9222" max="9222" width="6.28515625" customWidth="1"/>
    <col min="9223" max="9223" width="19.7109375" customWidth="1"/>
    <col min="9224" max="9224" width="22.42578125" customWidth="1"/>
    <col min="9225" max="9225" width="31.5703125" customWidth="1"/>
    <col min="9226" max="9226" width="10.85546875" customWidth="1"/>
    <col min="9227" max="9227" width="16" customWidth="1"/>
    <col min="9230" max="9230" width="7.5703125" customWidth="1"/>
    <col min="9231" max="9231" width="0.5703125" customWidth="1"/>
    <col min="9232" max="9232" width="11.5703125" bestFit="1" customWidth="1"/>
    <col min="9472" max="9472" width="24.7109375" customWidth="1"/>
    <col min="9473" max="9473" width="17.85546875" customWidth="1"/>
    <col min="9474" max="9474" width="20.7109375" customWidth="1"/>
    <col min="9475" max="9475" width="16.5703125" customWidth="1"/>
    <col min="9476" max="9476" width="7.140625" customWidth="1"/>
    <col min="9477" max="9477" width="15.140625" customWidth="1"/>
    <col min="9478" max="9478" width="6.28515625" customWidth="1"/>
    <col min="9479" max="9479" width="19.7109375" customWidth="1"/>
    <col min="9480" max="9480" width="22.42578125" customWidth="1"/>
    <col min="9481" max="9481" width="31.5703125" customWidth="1"/>
    <col min="9482" max="9482" width="10.85546875" customWidth="1"/>
    <col min="9483" max="9483" width="16" customWidth="1"/>
    <col min="9486" max="9486" width="7.5703125" customWidth="1"/>
    <col min="9487" max="9487" width="0.5703125" customWidth="1"/>
    <col min="9488" max="9488" width="11.5703125" bestFit="1" customWidth="1"/>
    <col min="9728" max="9728" width="24.7109375" customWidth="1"/>
    <col min="9729" max="9729" width="17.85546875" customWidth="1"/>
    <col min="9730" max="9730" width="20.7109375" customWidth="1"/>
    <col min="9731" max="9731" width="16.5703125" customWidth="1"/>
    <col min="9732" max="9732" width="7.140625" customWidth="1"/>
    <col min="9733" max="9733" width="15.140625" customWidth="1"/>
    <col min="9734" max="9734" width="6.28515625" customWidth="1"/>
    <col min="9735" max="9735" width="19.7109375" customWidth="1"/>
    <col min="9736" max="9736" width="22.42578125" customWidth="1"/>
    <col min="9737" max="9737" width="31.5703125" customWidth="1"/>
    <col min="9738" max="9738" width="10.85546875" customWidth="1"/>
    <col min="9739" max="9739" width="16" customWidth="1"/>
    <col min="9742" max="9742" width="7.5703125" customWidth="1"/>
    <col min="9743" max="9743" width="0.5703125" customWidth="1"/>
    <col min="9744" max="9744" width="11.5703125" bestFit="1" customWidth="1"/>
    <col min="9984" max="9984" width="24.7109375" customWidth="1"/>
    <col min="9985" max="9985" width="17.85546875" customWidth="1"/>
    <col min="9986" max="9986" width="20.7109375" customWidth="1"/>
    <col min="9987" max="9987" width="16.5703125" customWidth="1"/>
    <col min="9988" max="9988" width="7.140625" customWidth="1"/>
    <col min="9989" max="9989" width="15.140625" customWidth="1"/>
    <col min="9990" max="9990" width="6.28515625" customWidth="1"/>
    <col min="9991" max="9991" width="19.7109375" customWidth="1"/>
    <col min="9992" max="9992" width="22.42578125" customWidth="1"/>
    <col min="9993" max="9993" width="31.5703125" customWidth="1"/>
    <col min="9994" max="9994" width="10.85546875" customWidth="1"/>
    <col min="9995" max="9995" width="16" customWidth="1"/>
    <col min="9998" max="9998" width="7.5703125" customWidth="1"/>
    <col min="9999" max="9999" width="0.5703125" customWidth="1"/>
    <col min="10000" max="10000" width="11.5703125" bestFit="1" customWidth="1"/>
    <col min="10240" max="10240" width="24.7109375" customWidth="1"/>
    <col min="10241" max="10241" width="17.85546875" customWidth="1"/>
    <col min="10242" max="10242" width="20.7109375" customWidth="1"/>
    <col min="10243" max="10243" width="16.5703125" customWidth="1"/>
    <col min="10244" max="10244" width="7.140625" customWidth="1"/>
    <col min="10245" max="10245" width="15.140625" customWidth="1"/>
    <col min="10246" max="10246" width="6.28515625" customWidth="1"/>
    <col min="10247" max="10247" width="19.7109375" customWidth="1"/>
    <col min="10248" max="10248" width="22.42578125" customWidth="1"/>
    <col min="10249" max="10249" width="31.5703125" customWidth="1"/>
    <col min="10250" max="10250" width="10.85546875" customWidth="1"/>
    <col min="10251" max="10251" width="16" customWidth="1"/>
    <col min="10254" max="10254" width="7.5703125" customWidth="1"/>
    <col min="10255" max="10255" width="0.5703125" customWidth="1"/>
    <col min="10256" max="10256" width="11.5703125" bestFit="1" customWidth="1"/>
    <col min="10496" max="10496" width="24.7109375" customWidth="1"/>
    <col min="10497" max="10497" width="17.85546875" customWidth="1"/>
    <col min="10498" max="10498" width="20.7109375" customWidth="1"/>
    <col min="10499" max="10499" width="16.5703125" customWidth="1"/>
    <col min="10500" max="10500" width="7.140625" customWidth="1"/>
    <col min="10501" max="10501" width="15.140625" customWidth="1"/>
    <col min="10502" max="10502" width="6.28515625" customWidth="1"/>
    <col min="10503" max="10503" width="19.7109375" customWidth="1"/>
    <col min="10504" max="10504" width="22.42578125" customWidth="1"/>
    <col min="10505" max="10505" width="31.5703125" customWidth="1"/>
    <col min="10506" max="10506" width="10.85546875" customWidth="1"/>
    <col min="10507" max="10507" width="16" customWidth="1"/>
    <col min="10510" max="10510" width="7.5703125" customWidth="1"/>
    <col min="10511" max="10511" width="0.5703125" customWidth="1"/>
    <col min="10512" max="10512" width="11.5703125" bestFit="1" customWidth="1"/>
    <col min="10752" max="10752" width="24.7109375" customWidth="1"/>
    <col min="10753" max="10753" width="17.85546875" customWidth="1"/>
    <col min="10754" max="10754" width="20.7109375" customWidth="1"/>
    <col min="10755" max="10755" width="16.5703125" customWidth="1"/>
    <col min="10756" max="10756" width="7.140625" customWidth="1"/>
    <col min="10757" max="10757" width="15.140625" customWidth="1"/>
    <col min="10758" max="10758" width="6.28515625" customWidth="1"/>
    <col min="10759" max="10759" width="19.7109375" customWidth="1"/>
    <col min="10760" max="10760" width="22.42578125" customWidth="1"/>
    <col min="10761" max="10761" width="31.5703125" customWidth="1"/>
    <col min="10762" max="10762" width="10.85546875" customWidth="1"/>
    <col min="10763" max="10763" width="16" customWidth="1"/>
    <col min="10766" max="10766" width="7.5703125" customWidth="1"/>
    <col min="10767" max="10767" width="0.5703125" customWidth="1"/>
    <col min="10768" max="10768" width="11.5703125" bestFit="1" customWidth="1"/>
    <col min="11008" max="11008" width="24.7109375" customWidth="1"/>
    <col min="11009" max="11009" width="17.85546875" customWidth="1"/>
    <col min="11010" max="11010" width="20.7109375" customWidth="1"/>
    <col min="11011" max="11011" width="16.5703125" customWidth="1"/>
    <col min="11012" max="11012" width="7.140625" customWidth="1"/>
    <col min="11013" max="11013" width="15.140625" customWidth="1"/>
    <col min="11014" max="11014" width="6.28515625" customWidth="1"/>
    <col min="11015" max="11015" width="19.7109375" customWidth="1"/>
    <col min="11016" max="11016" width="22.42578125" customWidth="1"/>
    <col min="11017" max="11017" width="31.5703125" customWidth="1"/>
    <col min="11018" max="11018" width="10.85546875" customWidth="1"/>
    <col min="11019" max="11019" width="16" customWidth="1"/>
    <col min="11022" max="11022" width="7.5703125" customWidth="1"/>
    <col min="11023" max="11023" width="0.5703125" customWidth="1"/>
    <col min="11024" max="11024" width="11.5703125" bestFit="1" customWidth="1"/>
    <col min="11264" max="11264" width="24.7109375" customWidth="1"/>
    <col min="11265" max="11265" width="17.85546875" customWidth="1"/>
    <col min="11266" max="11266" width="20.7109375" customWidth="1"/>
    <col min="11267" max="11267" width="16.5703125" customWidth="1"/>
    <col min="11268" max="11268" width="7.140625" customWidth="1"/>
    <col min="11269" max="11269" width="15.140625" customWidth="1"/>
    <col min="11270" max="11270" width="6.28515625" customWidth="1"/>
    <col min="11271" max="11271" width="19.7109375" customWidth="1"/>
    <col min="11272" max="11272" width="22.42578125" customWidth="1"/>
    <col min="11273" max="11273" width="31.5703125" customWidth="1"/>
    <col min="11274" max="11274" width="10.85546875" customWidth="1"/>
    <col min="11275" max="11275" width="16" customWidth="1"/>
    <col min="11278" max="11278" width="7.5703125" customWidth="1"/>
    <col min="11279" max="11279" width="0.5703125" customWidth="1"/>
    <col min="11280" max="11280" width="11.5703125" bestFit="1" customWidth="1"/>
    <col min="11520" max="11520" width="24.7109375" customWidth="1"/>
    <col min="11521" max="11521" width="17.85546875" customWidth="1"/>
    <col min="11522" max="11522" width="20.7109375" customWidth="1"/>
    <col min="11523" max="11523" width="16.5703125" customWidth="1"/>
    <col min="11524" max="11524" width="7.140625" customWidth="1"/>
    <col min="11525" max="11525" width="15.140625" customWidth="1"/>
    <col min="11526" max="11526" width="6.28515625" customWidth="1"/>
    <col min="11527" max="11527" width="19.7109375" customWidth="1"/>
    <col min="11528" max="11528" width="22.42578125" customWidth="1"/>
    <col min="11529" max="11529" width="31.5703125" customWidth="1"/>
    <col min="11530" max="11530" width="10.85546875" customWidth="1"/>
    <col min="11531" max="11531" width="16" customWidth="1"/>
    <col min="11534" max="11534" width="7.5703125" customWidth="1"/>
    <col min="11535" max="11535" width="0.5703125" customWidth="1"/>
    <col min="11536" max="11536" width="11.5703125" bestFit="1" customWidth="1"/>
    <col min="11776" max="11776" width="24.7109375" customWidth="1"/>
    <col min="11777" max="11777" width="17.85546875" customWidth="1"/>
    <col min="11778" max="11778" width="20.7109375" customWidth="1"/>
    <col min="11779" max="11779" width="16.5703125" customWidth="1"/>
    <col min="11780" max="11780" width="7.140625" customWidth="1"/>
    <col min="11781" max="11781" width="15.140625" customWidth="1"/>
    <col min="11782" max="11782" width="6.28515625" customWidth="1"/>
    <col min="11783" max="11783" width="19.7109375" customWidth="1"/>
    <col min="11784" max="11784" width="22.42578125" customWidth="1"/>
    <col min="11785" max="11785" width="31.5703125" customWidth="1"/>
    <col min="11786" max="11786" width="10.85546875" customWidth="1"/>
    <col min="11787" max="11787" width="16" customWidth="1"/>
    <col min="11790" max="11790" width="7.5703125" customWidth="1"/>
    <col min="11791" max="11791" width="0.5703125" customWidth="1"/>
    <col min="11792" max="11792" width="11.5703125" bestFit="1" customWidth="1"/>
    <col min="12032" max="12032" width="24.7109375" customWidth="1"/>
    <col min="12033" max="12033" width="17.85546875" customWidth="1"/>
    <col min="12034" max="12034" width="20.7109375" customWidth="1"/>
    <col min="12035" max="12035" width="16.5703125" customWidth="1"/>
    <col min="12036" max="12036" width="7.140625" customWidth="1"/>
    <col min="12037" max="12037" width="15.140625" customWidth="1"/>
    <col min="12038" max="12038" width="6.28515625" customWidth="1"/>
    <col min="12039" max="12039" width="19.7109375" customWidth="1"/>
    <col min="12040" max="12040" width="22.42578125" customWidth="1"/>
    <col min="12041" max="12041" width="31.5703125" customWidth="1"/>
    <col min="12042" max="12042" width="10.85546875" customWidth="1"/>
    <col min="12043" max="12043" width="16" customWidth="1"/>
    <col min="12046" max="12046" width="7.5703125" customWidth="1"/>
    <col min="12047" max="12047" width="0.5703125" customWidth="1"/>
    <col min="12048" max="12048" width="11.5703125" bestFit="1" customWidth="1"/>
    <col min="12288" max="12288" width="24.7109375" customWidth="1"/>
    <col min="12289" max="12289" width="17.85546875" customWidth="1"/>
    <col min="12290" max="12290" width="20.7109375" customWidth="1"/>
    <col min="12291" max="12291" width="16.5703125" customWidth="1"/>
    <col min="12292" max="12292" width="7.140625" customWidth="1"/>
    <col min="12293" max="12293" width="15.140625" customWidth="1"/>
    <col min="12294" max="12294" width="6.28515625" customWidth="1"/>
    <col min="12295" max="12295" width="19.7109375" customWidth="1"/>
    <col min="12296" max="12296" width="22.42578125" customWidth="1"/>
    <col min="12297" max="12297" width="31.5703125" customWidth="1"/>
    <col min="12298" max="12298" width="10.85546875" customWidth="1"/>
    <col min="12299" max="12299" width="16" customWidth="1"/>
    <col min="12302" max="12302" width="7.5703125" customWidth="1"/>
    <col min="12303" max="12303" width="0.5703125" customWidth="1"/>
    <col min="12304" max="12304" width="11.5703125" bestFit="1" customWidth="1"/>
    <col min="12544" max="12544" width="24.7109375" customWidth="1"/>
    <col min="12545" max="12545" width="17.85546875" customWidth="1"/>
    <col min="12546" max="12546" width="20.7109375" customWidth="1"/>
    <col min="12547" max="12547" width="16.5703125" customWidth="1"/>
    <col min="12548" max="12548" width="7.140625" customWidth="1"/>
    <col min="12549" max="12549" width="15.140625" customWidth="1"/>
    <col min="12550" max="12550" width="6.28515625" customWidth="1"/>
    <col min="12551" max="12551" width="19.7109375" customWidth="1"/>
    <col min="12552" max="12552" width="22.42578125" customWidth="1"/>
    <col min="12553" max="12553" width="31.5703125" customWidth="1"/>
    <col min="12554" max="12554" width="10.85546875" customWidth="1"/>
    <col min="12555" max="12555" width="16" customWidth="1"/>
    <col min="12558" max="12558" width="7.5703125" customWidth="1"/>
    <col min="12559" max="12559" width="0.5703125" customWidth="1"/>
    <col min="12560" max="12560" width="11.5703125" bestFit="1" customWidth="1"/>
    <col min="12800" max="12800" width="24.7109375" customWidth="1"/>
    <col min="12801" max="12801" width="17.85546875" customWidth="1"/>
    <col min="12802" max="12802" width="20.7109375" customWidth="1"/>
    <col min="12803" max="12803" width="16.5703125" customWidth="1"/>
    <col min="12804" max="12804" width="7.140625" customWidth="1"/>
    <col min="12805" max="12805" width="15.140625" customWidth="1"/>
    <col min="12806" max="12806" width="6.28515625" customWidth="1"/>
    <col min="12807" max="12807" width="19.7109375" customWidth="1"/>
    <col min="12808" max="12808" width="22.42578125" customWidth="1"/>
    <col min="12809" max="12809" width="31.5703125" customWidth="1"/>
    <col min="12810" max="12810" width="10.85546875" customWidth="1"/>
    <col min="12811" max="12811" width="16" customWidth="1"/>
    <col min="12814" max="12814" width="7.5703125" customWidth="1"/>
    <col min="12815" max="12815" width="0.5703125" customWidth="1"/>
    <col min="12816" max="12816" width="11.5703125" bestFit="1" customWidth="1"/>
    <col min="13056" max="13056" width="24.7109375" customWidth="1"/>
    <col min="13057" max="13057" width="17.85546875" customWidth="1"/>
    <col min="13058" max="13058" width="20.7109375" customWidth="1"/>
    <col min="13059" max="13059" width="16.5703125" customWidth="1"/>
    <col min="13060" max="13060" width="7.140625" customWidth="1"/>
    <col min="13061" max="13061" width="15.140625" customWidth="1"/>
    <col min="13062" max="13062" width="6.28515625" customWidth="1"/>
    <col min="13063" max="13063" width="19.7109375" customWidth="1"/>
    <col min="13064" max="13064" width="22.42578125" customWidth="1"/>
    <col min="13065" max="13065" width="31.5703125" customWidth="1"/>
    <col min="13066" max="13066" width="10.85546875" customWidth="1"/>
    <col min="13067" max="13067" width="16" customWidth="1"/>
    <col min="13070" max="13070" width="7.5703125" customWidth="1"/>
    <col min="13071" max="13071" width="0.5703125" customWidth="1"/>
    <col min="13072" max="13072" width="11.5703125" bestFit="1" customWidth="1"/>
    <col min="13312" max="13312" width="24.7109375" customWidth="1"/>
    <col min="13313" max="13313" width="17.85546875" customWidth="1"/>
    <col min="13314" max="13314" width="20.7109375" customWidth="1"/>
    <col min="13315" max="13315" width="16.5703125" customWidth="1"/>
    <col min="13316" max="13316" width="7.140625" customWidth="1"/>
    <col min="13317" max="13317" width="15.140625" customWidth="1"/>
    <col min="13318" max="13318" width="6.28515625" customWidth="1"/>
    <col min="13319" max="13319" width="19.7109375" customWidth="1"/>
    <col min="13320" max="13320" width="22.42578125" customWidth="1"/>
    <col min="13321" max="13321" width="31.5703125" customWidth="1"/>
    <col min="13322" max="13322" width="10.85546875" customWidth="1"/>
    <col min="13323" max="13323" width="16" customWidth="1"/>
    <col min="13326" max="13326" width="7.5703125" customWidth="1"/>
    <col min="13327" max="13327" width="0.5703125" customWidth="1"/>
    <col min="13328" max="13328" width="11.5703125" bestFit="1" customWidth="1"/>
    <col min="13568" max="13568" width="24.7109375" customWidth="1"/>
    <col min="13569" max="13569" width="17.85546875" customWidth="1"/>
    <col min="13570" max="13570" width="20.7109375" customWidth="1"/>
    <col min="13571" max="13571" width="16.5703125" customWidth="1"/>
    <col min="13572" max="13572" width="7.140625" customWidth="1"/>
    <col min="13573" max="13573" width="15.140625" customWidth="1"/>
    <col min="13574" max="13574" width="6.28515625" customWidth="1"/>
    <col min="13575" max="13575" width="19.7109375" customWidth="1"/>
    <col min="13576" max="13576" width="22.42578125" customWidth="1"/>
    <col min="13577" max="13577" width="31.5703125" customWidth="1"/>
    <col min="13578" max="13578" width="10.85546875" customWidth="1"/>
    <col min="13579" max="13579" width="16" customWidth="1"/>
    <col min="13582" max="13582" width="7.5703125" customWidth="1"/>
    <col min="13583" max="13583" width="0.5703125" customWidth="1"/>
    <col min="13584" max="13584" width="11.5703125" bestFit="1" customWidth="1"/>
    <col min="13824" max="13824" width="24.7109375" customWidth="1"/>
    <col min="13825" max="13825" width="17.85546875" customWidth="1"/>
    <col min="13826" max="13826" width="20.7109375" customWidth="1"/>
    <col min="13827" max="13827" width="16.5703125" customWidth="1"/>
    <col min="13828" max="13828" width="7.140625" customWidth="1"/>
    <col min="13829" max="13829" width="15.140625" customWidth="1"/>
    <col min="13830" max="13830" width="6.28515625" customWidth="1"/>
    <col min="13831" max="13831" width="19.7109375" customWidth="1"/>
    <col min="13832" max="13832" width="22.42578125" customWidth="1"/>
    <col min="13833" max="13833" width="31.5703125" customWidth="1"/>
    <col min="13834" max="13834" width="10.85546875" customWidth="1"/>
    <col min="13835" max="13835" width="16" customWidth="1"/>
    <col min="13838" max="13838" width="7.5703125" customWidth="1"/>
    <col min="13839" max="13839" width="0.5703125" customWidth="1"/>
    <col min="13840" max="13840" width="11.5703125" bestFit="1" customWidth="1"/>
    <col min="14080" max="14080" width="24.7109375" customWidth="1"/>
    <col min="14081" max="14081" width="17.85546875" customWidth="1"/>
    <col min="14082" max="14082" width="20.7109375" customWidth="1"/>
    <col min="14083" max="14083" width="16.5703125" customWidth="1"/>
    <col min="14084" max="14084" width="7.140625" customWidth="1"/>
    <col min="14085" max="14085" width="15.140625" customWidth="1"/>
    <col min="14086" max="14086" width="6.28515625" customWidth="1"/>
    <col min="14087" max="14087" width="19.7109375" customWidth="1"/>
    <col min="14088" max="14088" width="22.42578125" customWidth="1"/>
    <col min="14089" max="14089" width="31.5703125" customWidth="1"/>
    <col min="14090" max="14090" width="10.85546875" customWidth="1"/>
    <col min="14091" max="14091" width="16" customWidth="1"/>
    <col min="14094" max="14094" width="7.5703125" customWidth="1"/>
    <col min="14095" max="14095" width="0.5703125" customWidth="1"/>
    <col min="14096" max="14096" width="11.5703125" bestFit="1" customWidth="1"/>
    <col min="14336" max="14336" width="24.7109375" customWidth="1"/>
    <col min="14337" max="14337" width="17.85546875" customWidth="1"/>
    <col min="14338" max="14338" width="20.7109375" customWidth="1"/>
    <col min="14339" max="14339" width="16.5703125" customWidth="1"/>
    <col min="14340" max="14340" width="7.140625" customWidth="1"/>
    <col min="14341" max="14341" width="15.140625" customWidth="1"/>
    <col min="14342" max="14342" width="6.28515625" customWidth="1"/>
    <col min="14343" max="14343" width="19.7109375" customWidth="1"/>
    <col min="14344" max="14344" width="22.42578125" customWidth="1"/>
    <col min="14345" max="14345" width="31.5703125" customWidth="1"/>
    <col min="14346" max="14346" width="10.85546875" customWidth="1"/>
    <col min="14347" max="14347" width="16" customWidth="1"/>
    <col min="14350" max="14350" width="7.5703125" customWidth="1"/>
    <col min="14351" max="14351" width="0.5703125" customWidth="1"/>
    <col min="14352" max="14352" width="11.5703125" bestFit="1" customWidth="1"/>
    <col min="14592" max="14592" width="24.7109375" customWidth="1"/>
    <col min="14593" max="14593" width="17.85546875" customWidth="1"/>
    <col min="14594" max="14594" width="20.7109375" customWidth="1"/>
    <col min="14595" max="14595" width="16.5703125" customWidth="1"/>
    <col min="14596" max="14596" width="7.140625" customWidth="1"/>
    <col min="14597" max="14597" width="15.140625" customWidth="1"/>
    <col min="14598" max="14598" width="6.28515625" customWidth="1"/>
    <col min="14599" max="14599" width="19.7109375" customWidth="1"/>
    <col min="14600" max="14600" width="22.42578125" customWidth="1"/>
    <col min="14601" max="14601" width="31.5703125" customWidth="1"/>
    <col min="14602" max="14602" width="10.85546875" customWidth="1"/>
    <col min="14603" max="14603" width="16" customWidth="1"/>
    <col min="14606" max="14606" width="7.5703125" customWidth="1"/>
    <col min="14607" max="14607" width="0.5703125" customWidth="1"/>
    <col min="14608" max="14608" width="11.5703125" bestFit="1" customWidth="1"/>
    <col min="14848" max="14848" width="24.7109375" customWidth="1"/>
    <col min="14849" max="14849" width="17.85546875" customWidth="1"/>
    <col min="14850" max="14850" width="20.7109375" customWidth="1"/>
    <col min="14851" max="14851" width="16.5703125" customWidth="1"/>
    <col min="14852" max="14852" width="7.140625" customWidth="1"/>
    <col min="14853" max="14853" width="15.140625" customWidth="1"/>
    <col min="14854" max="14854" width="6.28515625" customWidth="1"/>
    <col min="14855" max="14855" width="19.7109375" customWidth="1"/>
    <col min="14856" max="14856" width="22.42578125" customWidth="1"/>
    <col min="14857" max="14857" width="31.5703125" customWidth="1"/>
    <col min="14858" max="14858" width="10.85546875" customWidth="1"/>
    <col min="14859" max="14859" width="16" customWidth="1"/>
    <col min="14862" max="14862" width="7.5703125" customWidth="1"/>
    <col min="14863" max="14863" width="0.5703125" customWidth="1"/>
    <col min="14864" max="14864" width="11.5703125" bestFit="1" customWidth="1"/>
    <col min="15104" max="15104" width="24.7109375" customWidth="1"/>
    <col min="15105" max="15105" width="17.85546875" customWidth="1"/>
    <col min="15106" max="15106" width="20.7109375" customWidth="1"/>
    <col min="15107" max="15107" width="16.5703125" customWidth="1"/>
    <col min="15108" max="15108" width="7.140625" customWidth="1"/>
    <col min="15109" max="15109" width="15.140625" customWidth="1"/>
    <col min="15110" max="15110" width="6.28515625" customWidth="1"/>
    <col min="15111" max="15111" width="19.7109375" customWidth="1"/>
    <col min="15112" max="15112" width="22.42578125" customWidth="1"/>
    <col min="15113" max="15113" width="31.5703125" customWidth="1"/>
    <col min="15114" max="15114" width="10.85546875" customWidth="1"/>
    <col min="15115" max="15115" width="16" customWidth="1"/>
    <col min="15118" max="15118" width="7.5703125" customWidth="1"/>
    <col min="15119" max="15119" width="0.5703125" customWidth="1"/>
    <col min="15120" max="15120" width="11.5703125" bestFit="1" customWidth="1"/>
    <col min="15360" max="15360" width="24.7109375" customWidth="1"/>
    <col min="15361" max="15361" width="17.85546875" customWidth="1"/>
    <col min="15362" max="15362" width="20.7109375" customWidth="1"/>
    <col min="15363" max="15363" width="16.5703125" customWidth="1"/>
    <col min="15364" max="15364" width="7.140625" customWidth="1"/>
    <col min="15365" max="15365" width="15.140625" customWidth="1"/>
    <col min="15366" max="15366" width="6.28515625" customWidth="1"/>
    <col min="15367" max="15367" width="19.7109375" customWidth="1"/>
    <col min="15368" max="15368" width="22.42578125" customWidth="1"/>
    <col min="15369" max="15369" width="31.5703125" customWidth="1"/>
    <col min="15370" max="15370" width="10.85546875" customWidth="1"/>
    <col min="15371" max="15371" width="16" customWidth="1"/>
    <col min="15374" max="15374" width="7.5703125" customWidth="1"/>
    <col min="15375" max="15375" width="0.5703125" customWidth="1"/>
    <col min="15376" max="15376" width="11.5703125" bestFit="1" customWidth="1"/>
    <col min="15616" max="15616" width="24.7109375" customWidth="1"/>
    <col min="15617" max="15617" width="17.85546875" customWidth="1"/>
    <col min="15618" max="15618" width="20.7109375" customWidth="1"/>
    <col min="15619" max="15619" width="16.5703125" customWidth="1"/>
    <col min="15620" max="15620" width="7.140625" customWidth="1"/>
    <col min="15621" max="15621" width="15.140625" customWidth="1"/>
    <col min="15622" max="15622" width="6.28515625" customWidth="1"/>
    <col min="15623" max="15623" width="19.7109375" customWidth="1"/>
    <col min="15624" max="15624" width="22.42578125" customWidth="1"/>
    <col min="15625" max="15625" width="31.5703125" customWidth="1"/>
    <col min="15626" max="15626" width="10.85546875" customWidth="1"/>
    <col min="15627" max="15627" width="16" customWidth="1"/>
    <col min="15630" max="15630" width="7.5703125" customWidth="1"/>
    <col min="15631" max="15631" width="0.5703125" customWidth="1"/>
    <col min="15632" max="15632" width="11.5703125" bestFit="1" customWidth="1"/>
    <col min="15872" max="15872" width="24.7109375" customWidth="1"/>
    <col min="15873" max="15873" width="17.85546875" customWidth="1"/>
    <col min="15874" max="15874" width="20.7109375" customWidth="1"/>
    <col min="15875" max="15875" width="16.5703125" customWidth="1"/>
    <col min="15876" max="15876" width="7.140625" customWidth="1"/>
    <col min="15877" max="15877" width="15.140625" customWidth="1"/>
    <col min="15878" max="15878" width="6.28515625" customWidth="1"/>
    <col min="15879" max="15879" width="19.7109375" customWidth="1"/>
    <col min="15880" max="15880" width="22.42578125" customWidth="1"/>
    <col min="15881" max="15881" width="31.5703125" customWidth="1"/>
    <col min="15882" max="15882" width="10.85546875" customWidth="1"/>
    <col min="15883" max="15883" width="16" customWidth="1"/>
    <col min="15886" max="15886" width="7.5703125" customWidth="1"/>
    <col min="15887" max="15887" width="0.5703125" customWidth="1"/>
    <col min="15888" max="15888" width="11.5703125" bestFit="1" customWidth="1"/>
    <col min="16128" max="16128" width="24.7109375" customWidth="1"/>
    <col min="16129" max="16129" width="17.85546875" customWidth="1"/>
    <col min="16130" max="16130" width="20.7109375" customWidth="1"/>
    <col min="16131" max="16131" width="16.5703125" customWidth="1"/>
    <col min="16132" max="16132" width="7.140625" customWidth="1"/>
    <col min="16133" max="16133" width="15.140625" customWidth="1"/>
    <col min="16134" max="16134" width="6.28515625" customWidth="1"/>
    <col min="16135" max="16135" width="19.7109375" customWidth="1"/>
    <col min="16136" max="16136" width="22.42578125" customWidth="1"/>
    <col min="16137" max="16137" width="31.5703125" customWidth="1"/>
    <col min="16138" max="16138" width="10.85546875" customWidth="1"/>
    <col min="16139" max="16139" width="16" customWidth="1"/>
    <col min="16142" max="16142" width="7.5703125" customWidth="1"/>
    <col min="16143" max="16143" width="0.5703125" customWidth="1"/>
    <col min="16144" max="16144" width="11.5703125" bestFit="1" customWidth="1"/>
  </cols>
  <sheetData>
    <row r="1" spans="2:15" x14ac:dyDescent="0.2">
      <c r="J1" s="370"/>
    </row>
    <row r="2" spans="2:15" ht="22.5" customHeight="1" x14ac:dyDescent="0.35">
      <c r="B2" s="670" t="s">
        <v>114</v>
      </c>
      <c r="C2" s="670"/>
      <c r="D2" s="670"/>
      <c r="E2" s="670"/>
      <c r="F2" s="79"/>
      <c r="G2" s="80"/>
      <c r="H2" s="80"/>
      <c r="J2" s="81"/>
      <c r="L2" s="80"/>
      <c r="M2" s="80"/>
    </row>
    <row r="3" spans="2:15" ht="28.5" customHeight="1" x14ac:dyDescent="0.35">
      <c r="B3" s="372" t="s">
        <v>206</v>
      </c>
      <c r="C3" s="371"/>
      <c r="D3" s="371"/>
      <c r="E3" s="371"/>
      <c r="F3" s="79"/>
      <c r="G3" s="80"/>
      <c r="H3" s="80"/>
      <c r="J3" s="81"/>
      <c r="L3" s="80"/>
      <c r="M3" s="80"/>
    </row>
    <row r="4" spans="2:15" s="134" customFormat="1" ht="129.75" customHeight="1" x14ac:dyDescent="0.25">
      <c r="B4" s="671" t="s">
        <v>258</v>
      </c>
      <c r="C4" s="671"/>
      <c r="D4" s="671"/>
      <c r="E4" s="671"/>
      <c r="F4" s="671"/>
      <c r="G4" s="671"/>
      <c r="H4" s="671"/>
      <c r="I4" s="671"/>
      <c r="J4" s="671"/>
      <c r="K4" s="671"/>
      <c r="L4" s="82"/>
      <c r="M4" s="82"/>
      <c r="N4" s="83"/>
      <c r="O4" s="83"/>
    </row>
    <row r="5" spans="2:15" ht="35.25" customHeight="1" x14ac:dyDescent="0.2">
      <c r="B5" s="672" t="s">
        <v>65</v>
      </c>
      <c r="C5" s="672"/>
      <c r="D5" s="672"/>
      <c r="E5" s="80"/>
      <c r="F5" s="80"/>
      <c r="G5" s="80"/>
      <c r="H5" s="80"/>
      <c r="J5" s="81"/>
      <c r="L5" s="80"/>
      <c r="M5" s="80"/>
    </row>
    <row r="6" spans="2:15" ht="36.75" customHeight="1" x14ac:dyDescent="0.2">
      <c r="B6" s="331" t="s">
        <v>240</v>
      </c>
      <c r="C6" s="331" t="s">
        <v>66</v>
      </c>
      <c r="D6" s="332" t="s">
        <v>67</v>
      </c>
      <c r="E6" s="84"/>
      <c r="F6" s="84"/>
      <c r="G6" s="85"/>
      <c r="H6" s="80"/>
      <c r="J6" s="81"/>
      <c r="L6" s="80"/>
      <c r="M6" s="80"/>
    </row>
    <row r="7" spans="2:15" ht="30" customHeight="1" x14ac:dyDescent="0.2">
      <c r="B7" s="333">
        <v>75</v>
      </c>
      <c r="C7" s="334">
        <v>0.02</v>
      </c>
      <c r="D7" s="335">
        <f t="shared" ref="D7:D14" si="0">C7*$C$16</f>
        <v>440788.74439999997</v>
      </c>
      <c r="E7" s="86"/>
      <c r="F7" s="86"/>
      <c r="G7" s="87"/>
      <c r="H7" s="80"/>
      <c r="J7" s="81"/>
      <c r="L7" s="80"/>
      <c r="M7" s="88"/>
    </row>
    <row r="8" spans="2:15" ht="30" customHeight="1" x14ac:dyDescent="0.2">
      <c r="B8" s="333">
        <v>85</v>
      </c>
      <c r="C8" s="334">
        <v>0.03</v>
      </c>
      <c r="D8" s="335">
        <f t="shared" si="0"/>
        <v>661183.11659999995</v>
      </c>
      <c r="E8" s="86"/>
      <c r="F8" s="86"/>
      <c r="G8" s="87"/>
      <c r="H8" s="80"/>
      <c r="J8" s="81"/>
      <c r="L8" s="80"/>
      <c r="M8" s="80"/>
    </row>
    <row r="9" spans="2:15" ht="30" customHeight="1" x14ac:dyDescent="0.2">
      <c r="B9" s="333">
        <v>95</v>
      </c>
      <c r="C9" s="334">
        <v>0.04</v>
      </c>
      <c r="D9" s="335">
        <f t="shared" si="0"/>
        <v>881577.48879999993</v>
      </c>
      <c r="E9" s="90"/>
      <c r="F9" s="90"/>
      <c r="G9" s="87"/>
      <c r="H9" s="80"/>
      <c r="J9" s="81"/>
      <c r="L9" s="80"/>
      <c r="M9" s="80"/>
    </row>
    <row r="10" spans="2:15" ht="30" customHeight="1" x14ac:dyDescent="0.2">
      <c r="B10" s="336">
        <v>100</v>
      </c>
      <c r="C10" s="337">
        <v>4.4999999999999998E-2</v>
      </c>
      <c r="D10" s="338">
        <f t="shared" si="0"/>
        <v>991774.67489999987</v>
      </c>
      <c r="E10" s="86"/>
      <c r="F10" s="86"/>
      <c r="G10" s="87"/>
      <c r="H10" s="80"/>
      <c r="J10" s="81"/>
      <c r="L10" s="80"/>
      <c r="M10" s="80"/>
    </row>
    <row r="11" spans="2:15" ht="29.25" customHeight="1" x14ac:dyDescent="0.2">
      <c r="B11" s="333">
        <v>105</v>
      </c>
      <c r="C11" s="334">
        <v>0.05</v>
      </c>
      <c r="D11" s="335">
        <f t="shared" si="0"/>
        <v>1101971.861</v>
      </c>
      <c r="E11" s="86"/>
      <c r="F11" s="86"/>
      <c r="G11" s="87"/>
      <c r="H11" s="80"/>
      <c r="J11" s="81"/>
      <c r="L11" s="80"/>
      <c r="M11" s="80"/>
    </row>
    <row r="12" spans="2:15" ht="30" customHeight="1" x14ac:dyDescent="0.2">
      <c r="B12" s="333">
        <v>115</v>
      </c>
      <c r="C12" s="334">
        <v>0.06</v>
      </c>
      <c r="D12" s="335">
        <f t="shared" si="0"/>
        <v>1322366.2331999999</v>
      </c>
      <c r="E12" s="91"/>
      <c r="F12" s="91"/>
      <c r="G12" s="87"/>
      <c r="H12" s="80"/>
      <c r="J12" s="81"/>
      <c r="L12" s="80"/>
      <c r="M12" s="80"/>
    </row>
    <row r="13" spans="2:15" ht="30" customHeight="1" x14ac:dyDescent="0.2">
      <c r="B13" s="333">
        <v>125</v>
      </c>
      <c r="C13" s="334">
        <v>7.0000000000000007E-2</v>
      </c>
      <c r="D13" s="335">
        <f t="shared" si="0"/>
        <v>1542760.6054</v>
      </c>
      <c r="E13" s="91"/>
      <c r="F13" s="91"/>
      <c r="G13" s="87"/>
      <c r="H13" s="80"/>
      <c r="J13" s="81"/>
      <c r="L13" s="80"/>
      <c r="M13" s="80"/>
    </row>
    <row r="14" spans="2:15" ht="19.5" customHeight="1" x14ac:dyDescent="0.2">
      <c r="B14" s="333">
        <v>135</v>
      </c>
      <c r="C14" s="334">
        <v>0.08</v>
      </c>
      <c r="D14" s="335">
        <f t="shared" si="0"/>
        <v>1763154.9775999999</v>
      </c>
      <c r="E14" s="86"/>
      <c r="F14" s="86"/>
      <c r="G14" s="87"/>
      <c r="H14" s="80"/>
      <c r="J14" s="81"/>
      <c r="L14" s="80"/>
      <c r="M14" s="80"/>
    </row>
    <row r="15" spans="2:15" ht="24.75" customHeight="1" x14ac:dyDescent="0.2">
      <c r="B15" s="89"/>
      <c r="C15" s="369"/>
      <c r="D15" s="92"/>
      <c r="E15" s="86"/>
      <c r="F15" s="86"/>
      <c r="G15" s="87"/>
      <c r="H15" s="80"/>
      <c r="J15" s="81"/>
      <c r="L15" s="80"/>
      <c r="M15" s="80"/>
    </row>
    <row r="16" spans="2:15" s="95" customFormat="1" ht="36" x14ac:dyDescent="0.25">
      <c r="B16" s="339" t="s">
        <v>251</v>
      </c>
      <c r="C16" s="340">
        <f>'ES CT Gas Table A'!F50-'ES CT Gas Table A'!F45-'ES CT Gas Table A'!F43-'ES CT Gas Table A'!F41-'ES CT Gas Table A'!F44</f>
        <v>22039437.219999999</v>
      </c>
      <c r="D16" s="92"/>
      <c r="E16" s="93"/>
      <c r="F16" s="93"/>
      <c r="G16" s="94"/>
      <c r="J16" s="96"/>
      <c r="K16" s="105"/>
    </row>
    <row r="17" spans="2:13" ht="25.5" customHeight="1" x14ac:dyDescent="0.2">
      <c r="B17" s="675" t="s">
        <v>245</v>
      </c>
      <c r="C17" s="675"/>
      <c r="D17" s="675"/>
      <c r="E17" s="86"/>
      <c r="F17" s="86"/>
      <c r="G17" s="87"/>
      <c r="H17" s="80"/>
      <c r="J17" s="81"/>
      <c r="L17" s="80"/>
      <c r="M17" s="80"/>
    </row>
    <row r="18" spans="2:13" ht="19.5" customHeight="1" x14ac:dyDescent="0.2">
      <c r="B18" s="675"/>
      <c r="C18" s="675"/>
      <c r="D18" s="675"/>
      <c r="E18" s="86"/>
      <c r="F18" s="86"/>
      <c r="G18" s="87"/>
      <c r="H18" s="80"/>
      <c r="J18" s="81"/>
      <c r="L18" s="80"/>
      <c r="M18" s="80"/>
    </row>
    <row r="19" spans="2:13" ht="19.5" customHeight="1" x14ac:dyDescent="0.2">
      <c r="B19" s="80"/>
      <c r="D19" s="86"/>
      <c r="E19" s="86"/>
      <c r="F19" s="86"/>
      <c r="G19" s="87"/>
      <c r="H19" s="80"/>
      <c r="J19" s="81"/>
      <c r="L19" s="80"/>
      <c r="M19" s="80"/>
    </row>
    <row r="20" spans="2:13" ht="19.5" customHeight="1" x14ac:dyDescent="0.2">
      <c r="B20" s="80"/>
      <c r="D20" s="86"/>
      <c r="E20" s="86"/>
      <c r="F20" s="86"/>
      <c r="G20" s="87"/>
      <c r="H20" s="80"/>
      <c r="J20" s="81"/>
      <c r="L20" s="80"/>
      <c r="M20" s="80"/>
    </row>
    <row r="21" spans="2:13" ht="19.5" customHeight="1" x14ac:dyDescent="0.25">
      <c r="B21" s="110"/>
      <c r="D21" s="86"/>
      <c r="E21" s="86"/>
      <c r="F21" s="86"/>
      <c r="G21" s="87"/>
      <c r="H21" s="80"/>
      <c r="J21" s="81"/>
      <c r="L21" s="80"/>
      <c r="M21" s="80"/>
    </row>
    <row r="22" spans="2:13" ht="9" customHeight="1" thickBot="1" x14ac:dyDescent="0.25">
      <c r="B22" s="80"/>
      <c r="D22" s="80"/>
      <c r="E22" s="80"/>
      <c r="F22" s="80"/>
      <c r="G22" s="80"/>
      <c r="H22" s="80"/>
      <c r="J22" s="81"/>
      <c r="L22" s="80"/>
      <c r="M22" s="80"/>
    </row>
    <row r="23" spans="2:13" s="34" customFormat="1" ht="23.25" customHeight="1" thickBot="1" x14ac:dyDescent="0.25">
      <c r="B23" s="673" t="s">
        <v>68</v>
      </c>
      <c r="C23" s="673"/>
      <c r="D23" s="673" t="s">
        <v>69</v>
      </c>
      <c r="E23" s="673"/>
      <c r="F23" s="673"/>
      <c r="G23" s="673"/>
      <c r="H23" s="674" t="s">
        <v>70</v>
      </c>
      <c r="I23" s="674"/>
      <c r="J23" s="674"/>
      <c r="K23" s="674"/>
    </row>
    <row r="24" spans="2:13" s="34" customFormat="1" ht="36.75" customHeight="1" thickBot="1" x14ac:dyDescent="0.25">
      <c r="B24" s="673" t="s">
        <v>71</v>
      </c>
      <c r="C24" s="673"/>
      <c r="D24" s="673"/>
      <c r="E24" s="673"/>
      <c r="F24" s="673"/>
      <c r="G24" s="673"/>
      <c r="H24" s="368" t="s">
        <v>72</v>
      </c>
      <c r="I24" s="368" t="s">
        <v>73</v>
      </c>
      <c r="J24" s="368" t="s">
        <v>74</v>
      </c>
      <c r="K24" s="379" t="s">
        <v>75</v>
      </c>
    </row>
    <row r="25" spans="2:13" ht="19.5" customHeight="1" thickBot="1" x14ac:dyDescent="0.25">
      <c r="B25" s="663"/>
      <c r="C25" s="664"/>
      <c r="D25" s="664"/>
      <c r="E25" s="664"/>
      <c r="F25" s="664"/>
      <c r="G25" s="664"/>
      <c r="H25" s="664"/>
      <c r="I25" s="664"/>
      <c r="J25" s="664"/>
      <c r="K25" s="665"/>
      <c r="L25" s="80"/>
      <c r="M25" s="80"/>
    </row>
    <row r="26" spans="2:13" ht="17.25" customHeight="1" x14ac:dyDescent="0.2">
      <c r="B26" s="641" t="s">
        <v>29</v>
      </c>
      <c r="C26" s="642"/>
      <c r="D26" s="645" t="s">
        <v>76</v>
      </c>
      <c r="E26" s="641" t="s">
        <v>77</v>
      </c>
      <c r="F26" s="642"/>
      <c r="G26" s="647" t="s">
        <v>78</v>
      </c>
      <c r="H26" s="666"/>
      <c r="I26" s="666"/>
      <c r="J26" s="666"/>
      <c r="K26" s="668"/>
      <c r="L26" s="80"/>
      <c r="M26" s="80"/>
    </row>
    <row r="27" spans="2:13" ht="18.75" customHeight="1" thickBot="1" x14ac:dyDescent="0.25">
      <c r="B27" s="643"/>
      <c r="C27" s="644"/>
      <c r="D27" s="646"/>
      <c r="E27" s="643"/>
      <c r="F27" s="644"/>
      <c r="G27" s="648"/>
      <c r="H27" s="667"/>
      <c r="I27" s="667"/>
      <c r="J27" s="667"/>
      <c r="K27" s="669"/>
      <c r="L27" s="80"/>
      <c r="M27" s="80"/>
    </row>
    <row r="28" spans="2:13" ht="18" customHeight="1" thickBot="1" x14ac:dyDescent="0.25">
      <c r="B28" s="624" t="s">
        <v>246</v>
      </c>
      <c r="C28" s="627">
        <f>'ES CT Gas Table A'!F18</f>
        <v>15953396.399999999</v>
      </c>
      <c r="D28" s="690" t="s">
        <v>5</v>
      </c>
      <c r="E28" s="691"/>
      <c r="F28" s="691"/>
      <c r="G28" s="692"/>
      <c r="H28" s="679" t="s">
        <v>243</v>
      </c>
      <c r="I28" s="679" t="s">
        <v>244</v>
      </c>
      <c r="J28" s="705">
        <f>0.1625-0.03375-0.01625+0.005+0.005+0.0575-0.015+0.03-0.0025</f>
        <v>0.19250000000000003</v>
      </c>
      <c r="K28" s="627">
        <f>$D$10*J28</f>
        <v>190916.62491825002</v>
      </c>
      <c r="L28" s="80"/>
      <c r="M28" s="80"/>
    </row>
    <row r="29" spans="2:13" ht="43.5" hidden="1" customHeight="1" thickBot="1" x14ac:dyDescent="0.25">
      <c r="B29" s="625"/>
      <c r="C29" s="628"/>
      <c r="D29" s="693"/>
      <c r="E29" s="694"/>
      <c r="F29" s="694"/>
      <c r="G29" s="695"/>
      <c r="H29" s="680"/>
      <c r="I29" s="680"/>
      <c r="J29" s="706"/>
      <c r="K29" s="628"/>
      <c r="L29" s="80"/>
      <c r="M29" s="80"/>
    </row>
    <row r="30" spans="2:13" ht="18.75" customHeight="1" thickBot="1" x14ac:dyDescent="0.3">
      <c r="B30" s="625"/>
      <c r="C30" s="628"/>
      <c r="D30" s="373" t="s">
        <v>198</v>
      </c>
      <c r="E30" s="685">
        <f>'2014-24 ES CT G Table D2LifeCCF'!M11</f>
        <v>2237483.578048483</v>
      </c>
      <c r="F30" s="686"/>
      <c r="G30" s="350">
        <f>(E30*E$37)/I$33</f>
        <v>0.1463234916715643</v>
      </c>
      <c r="H30" s="680"/>
      <c r="I30" s="680"/>
      <c r="J30" s="706"/>
      <c r="K30" s="628"/>
      <c r="L30" s="80"/>
      <c r="M30" s="80"/>
    </row>
    <row r="31" spans="2:13" ht="18.75" customHeight="1" thickBot="1" x14ac:dyDescent="0.3">
      <c r="B31" s="625"/>
      <c r="C31" s="628"/>
      <c r="D31" s="373" t="s">
        <v>96</v>
      </c>
      <c r="E31" s="685">
        <f>'2014-24 ES CT G Table D2LifeCCF'!M12</f>
        <v>2112233.9137701471</v>
      </c>
      <c r="F31" s="686"/>
      <c r="G31" s="350">
        <f>(E31*E$37)/I$33</f>
        <v>0.13813260777516409</v>
      </c>
      <c r="H31" s="680"/>
      <c r="I31" s="680"/>
      <c r="J31" s="706"/>
      <c r="K31" s="628"/>
      <c r="L31" s="80"/>
      <c r="M31" s="80"/>
    </row>
    <row r="32" spans="2:13" ht="18.75" customHeight="1" thickBot="1" x14ac:dyDescent="0.3">
      <c r="B32" s="625"/>
      <c r="C32" s="628"/>
      <c r="D32" s="373" t="s">
        <v>210</v>
      </c>
      <c r="E32" s="685">
        <f>'2014-24 ES CT G Table D2LifeCCF'!M13</f>
        <v>8134612.3425008366</v>
      </c>
      <c r="F32" s="686"/>
      <c r="G32" s="350">
        <f>(E32*E$37)/I$33</f>
        <v>0.53197480107875617</v>
      </c>
      <c r="H32" s="680"/>
      <c r="I32" s="681"/>
      <c r="J32" s="706"/>
      <c r="K32" s="628"/>
      <c r="L32" s="80"/>
      <c r="M32" s="80"/>
    </row>
    <row r="33" spans="2:17" ht="18.75" customHeight="1" thickBot="1" x14ac:dyDescent="0.3">
      <c r="B33" s="625"/>
      <c r="C33" s="628"/>
      <c r="D33" s="373" t="s">
        <v>197</v>
      </c>
      <c r="E33" s="685">
        <f>'2014-24 ES CT G Table D2LifeCCF'!M19</f>
        <v>2797801.2933168081</v>
      </c>
      <c r="F33" s="686"/>
      <c r="G33" s="350">
        <f>(E33*E$37)/I$33</f>
        <v>0.1829662833093933</v>
      </c>
      <c r="H33" s="680"/>
      <c r="I33" s="676">
        <f>E38</f>
        <v>15818331.489203889</v>
      </c>
      <c r="J33" s="706"/>
      <c r="K33" s="628"/>
      <c r="L33" s="80"/>
      <c r="M33" s="80"/>
    </row>
    <row r="34" spans="2:17" ht="28.5" customHeight="1" thickBot="1" x14ac:dyDescent="0.3">
      <c r="B34" s="625"/>
      <c r="C34" s="628"/>
      <c r="D34" s="384" t="s">
        <v>211</v>
      </c>
      <c r="E34" s="685">
        <f>'2014-24 ES CT G Table D2LifeCCF'!M21</f>
        <v>9218</v>
      </c>
      <c r="F34" s="686"/>
      <c r="G34" s="350">
        <f>(E34*E$37)/I$33</f>
        <v>6.0282451208196219E-4</v>
      </c>
      <c r="H34" s="680"/>
      <c r="I34" s="677"/>
      <c r="J34" s="706"/>
      <c r="K34" s="628"/>
      <c r="L34" s="80"/>
      <c r="M34" s="80"/>
    </row>
    <row r="35" spans="2:17" ht="18.75" customHeight="1" thickBot="1" x14ac:dyDescent="0.3">
      <c r="B35" s="625"/>
      <c r="C35" s="628"/>
      <c r="D35" s="374" t="s">
        <v>79</v>
      </c>
      <c r="E35" s="708">
        <f>ROUND(SUM(E30:E34),0)</f>
        <v>15291349</v>
      </c>
      <c r="F35" s="709"/>
      <c r="G35" s="352"/>
      <c r="H35" s="680"/>
      <c r="I35" s="677"/>
      <c r="J35" s="706"/>
      <c r="K35" s="628"/>
      <c r="L35" s="80"/>
      <c r="M35" s="80"/>
      <c r="Q35" s="80" t="s">
        <v>5</v>
      </c>
    </row>
    <row r="36" spans="2:17" ht="18.75" customHeight="1" thickBot="1" x14ac:dyDescent="0.25">
      <c r="B36" s="625"/>
      <c r="C36" s="628"/>
      <c r="D36" s="682"/>
      <c r="E36" s="683"/>
      <c r="F36" s="683"/>
      <c r="G36" s="684"/>
      <c r="H36" s="680"/>
      <c r="I36" s="677"/>
      <c r="J36" s="706"/>
      <c r="K36" s="628"/>
      <c r="L36" s="80"/>
      <c r="M36" s="80"/>
    </row>
    <row r="37" spans="2:17" ht="30" customHeight="1" thickBot="1" x14ac:dyDescent="0.3">
      <c r="B37" s="625"/>
      <c r="C37" s="628"/>
      <c r="D37" s="351" t="s">
        <v>80</v>
      </c>
      <c r="E37" s="376">
        <f>E38/E35</f>
        <v>1.0344627860631452</v>
      </c>
      <c r="F37" s="377" t="s">
        <v>87</v>
      </c>
      <c r="G37" s="349"/>
      <c r="H37" s="680"/>
      <c r="I37" s="677"/>
      <c r="J37" s="706"/>
      <c r="K37" s="628"/>
      <c r="L37" s="80"/>
      <c r="M37" s="80"/>
    </row>
    <row r="38" spans="2:17" ht="21.75" customHeight="1" thickBot="1" x14ac:dyDescent="0.25">
      <c r="B38" s="625"/>
      <c r="C38" s="628"/>
      <c r="D38" s="345" t="s">
        <v>81</v>
      </c>
      <c r="E38" s="357">
        <f>[18]EG_Table_B!$AW$61</f>
        <v>15818331.489203889</v>
      </c>
      <c r="F38" s="353"/>
      <c r="G38" s="345"/>
      <c r="H38" s="680"/>
      <c r="I38" s="677"/>
      <c r="J38" s="706"/>
      <c r="K38" s="628"/>
      <c r="L38" s="80"/>
      <c r="M38" s="80"/>
    </row>
    <row r="39" spans="2:17" ht="30" customHeight="1" thickBot="1" x14ac:dyDescent="0.25">
      <c r="B39" s="626"/>
      <c r="C39" s="629"/>
      <c r="D39" s="687" t="s">
        <v>82</v>
      </c>
      <c r="E39" s="688"/>
      <c r="F39" s="688"/>
      <c r="G39" s="689"/>
      <c r="H39" s="681"/>
      <c r="I39" s="678"/>
      <c r="J39" s="707"/>
      <c r="K39" s="629"/>
      <c r="L39" s="80"/>
      <c r="M39" s="80"/>
    </row>
    <row r="40" spans="2:17" ht="42" customHeight="1" thickBot="1" x14ac:dyDescent="0.25">
      <c r="B40" s="348" t="s">
        <v>241</v>
      </c>
      <c r="D40" s="687"/>
      <c r="E40" s="688"/>
      <c r="F40" s="688"/>
      <c r="G40" s="689"/>
      <c r="H40" s="355"/>
      <c r="I40" s="357">
        <f>I33-C28</f>
        <v>-135064.91079610959</v>
      </c>
      <c r="J40" s="356">
        <f>0.1625-0.03375-0.01625+0.005+0.005+0.0575-0.015+0.03-0.0025</f>
        <v>0.19250000000000003</v>
      </c>
      <c r="K40" s="357">
        <f>$D$10*J40</f>
        <v>190916.62491825002</v>
      </c>
      <c r="L40" s="80"/>
      <c r="M40" s="80"/>
    </row>
    <row r="41" spans="2:17" ht="72" customHeight="1" thickBot="1" x14ac:dyDescent="0.25">
      <c r="B41" s="341" t="s">
        <v>96</v>
      </c>
      <c r="C41" s="357">
        <f>'ES CT Gas Table A'!F14</f>
        <v>4608941.76</v>
      </c>
      <c r="D41" s="710" t="s">
        <v>259</v>
      </c>
      <c r="E41" s="710"/>
      <c r="F41" s="710"/>
      <c r="G41" s="710"/>
      <c r="H41" s="354" t="s">
        <v>97</v>
      </c>
      <c r="I41" s="342" t="s">
        <v>260</v>
      </c>
      <c r="J41" s="343">
        <v>0.06</v>
      </c>
      <c r="K41" s="358">
        <f>$D$10*J41</f>
        <v>59506.480493999989</v>
      </c>
      <c r="L41" s="80"/>
      <c r="M41" s="80"/>
    </row>
    <row r="42" spans="2:17" ht="45.75" customHeight="1" thickBot="1" x14ac:dyDescent="0.25">
      <c r="B42" s="348" t="s">
        <v>247</v>
      </c>
      <c r="C42" s="357">
        <f>'ES CT Gas Table A'!F16</f>
        <v>6126982</v>
      </c>
      <c r="D42" s="711" t="s">
        <v>99</v>
      </c>
      <c r="E42" s="711"/>
      <c r="F42" s="711"/>
      <c r="G42" s="711"/>
      <c r="H42" s="354" t="s">
        <v>98</v>
      </c>
      <c r="I42" s="344">
        <f>[18]EG_Table_B!$M$59</f>
        <v>237454.57562697001</v>
      </c>
      <c r="J42" s="343">
        <v>0.03</v>
      </c>
      <c r="K42" s="359">
        <f>$D$10*J42</f>
        <v>29753.240246999994</v>
      </c>
    </row>
    <row r="43" spans="2:17" ht="30" customHeight="1" thickBot="1" x14ac:dyDescent="0.25">
      <c r="B43" s="383"/>
      <c r="C43" s="712"/>
      <c r="D43" s="712"/>
      <c r="E43" s="712"/>
      <c r="F43" s="712"/>
      <c r="G43" s="712"/>
      <c r="H43" s="712"/>
      <c r="I43" s="712"/>
      <c r="J43" s="712"/>
      <c r="K43" s="640"/>
    </row>
    <row r="44" spans="2:17" ht="36.75" customHeight="1" x14ac:dyDescent="0.2">
      <c r="B44" s="641" t="s">
        <v>83</v>
      </c>
      <c r="C44" s="642"/>
      <c r="D44" s="645" t="s">
        <v>76</v>
      </c>
      <c r="E44" s="641" t="s">
        <v>77</v>
      </c>
      <c r="F44" s="642"/>
      <c r="G44" s="647" t="s">
        <v>78</v>
      </c>
      <c r="H44" s="713"/>
      <c r="I44" s="713"/>
      <c r="J44" s="713"/>
      <c r="K44" s="621"/>
    </row>
    <row r="45" spans="2:17" ht="19.5" customHeight="1" thickBot="1" x14ac:dyDescent="0.25">
      <c r="B45" s="643"/>
      <c r="C45" s="644"/>
      <c r="D45" s="646"/>
      <c r="E45" s="643"/>
      <c r="F45" s="644"/>
      <c r="G45" s="648"/>
      <c r="H45" s="714"/>
      <c r="I45" s="714"/>
      <c r="J45" s="714"/>
      <c r="K45" s="622"/>
    </row>
    <row r="46" spans="2:17" ht="45.75" customHeight="1" thickBot="1" x14ac:dyDescent="0.3">
      <c r="B46" s="624" t="s">
        <v>84</v>
      </c>
      <c r="C46" s="627">
        <f>'ES CT Gas Table A'!F24</f>
        <v>5165700</v>
      </c>
      <c r="D46" s="364" t="s">
        <v>85</v>
      </c>
      <c r="E46" s="633">
        <f>'2014-24 ES CT G Table D2LifeCCF'!O24</f>
        <v>6281432.9158742223</v>
      </c>
      <c r="F46" s="634"/>
      <c r="G46" s="350">
        <f>(E46*$E$52)/$I$48</f>
        <v>0.40040644195438818</v>
      </c>
      <c r="H46" s="699" t="s">
        <v>250</v>
      </c>
      <c r="I46" s="623" t="s">
        <v>100</v>
      </c>
      <c r="J46" s="658">
        <f>0.21-0.0025</f>
        <v>0.20749999999999999</v>
      </c>
      <c r="K46" s="652">
        <f>$D$10*J46</f>
        <v>205793.24504174996</v>
      </c>
    </row>
    <row r="47" spans="2:17" ht="28.5" customHeight="1" thickBot="1" x14ac:dyDescent="0.3">
      <c r="B47" s="625"/>
      <c r="C47" s="628"/>
      <c r="D47" s="364" t="s">
        <v>86</v>
      </c>
      <c r="E47" s="633">
        <f>'2014-24 ES CT G Table D2LifeCCF'!O25</f>
        <v>6033007.0439675199</v>
      </c>
      <c r="F47" s="634"/>
      <c r="G47" s="350">
        <f>(E47*$E$52)/$I$48</f>
        <v>0.38457067314307147</v>
      </c>
      <c r="H47" s="700"/>
      <c r="I47" s="623"/>
      <c r="J47" s="659"/>
      <c r="K47" s="653"/>
    </row>
    <row r="48" spans="2:17" ht="36.75" thickBot="1" x14ac:dyDescent="0.3">
      <c r="B48" s="625"/>
      <c r="C48" s="628"/>
      <c r="D48" s="364" t="s">
        <v>199</v>
      </c>
      <c r="E48" s="633">
        <f>'2014-24 ES CT G Table D2LifeCCF'!O26</f>
        <v>1877079.8270252293</v>
      </c>
      <c r="F48" s="634"/>
      <c r="G48" s="350">
        <f>(E48*$E$52)/$I$48</f>
        <v>0.11965340788789224</v>
      </c>
      <c r="H48" s="700"/>
      <c r="I48" s="702">
        <f>E53</f>
        <v>14158001.875425743</v>
      </c>
      <c r="J48" s="659"/>
      <c r="K48" s="653"/>
    </row>
    <row r="49" spans="2:16" ht="30.75" customHeight="1" thickBot="1" x14ac:dyDescent="0.3">
      <c r="B49" s="625"/>
      <c r="C49" s="628"/>
      <c r="D49" s="364" t="s">
        <v>11</v>
      </c>
      <c r="E49" s="633">
        <f>'2014-24 ES CT G Table D2LifeCCF'!O27</f>
        <v>1496122.3086504845</v>
      </c>
      <c r="F49" s="634"/>
      <c r="G49" s="350">
        <f>(E49*$E$52)/$I$48</f>
        <v>9.5369483103355149E-2</v>
      </c>
      <c r="H49" s="700"/>
      <c r="I49" s="703"/>
      <c r="J49" s="659"/>
      <c r="K49" s="653"/>
    </row>
    <row r="50" spans="2:16" ht="27.75" customHeight="1" thickBot="1" x14ac:dyDescent="0.3">
      <c r="B50" s="625"/>
      <c r="C50" s="628"/>
      <c r="D50" s="380" t="s">
        <v>79</v>
      </c>
      <c r="E50" s="635">
        <f>ROUND(SUM(E46:E49),0)</f>
        <v>15687642</v>
      </c>
      <c r="F50" s="636"/>
      <c r="G50" s="347"/>
      <c r="H50" s="700"/>
      <c r="I50" s="703"/>
      <c r="J50" s="659"/>
      <c r="K50" s="653"/>
    </row>
    <row r="51" spans="2:16" ht="18.75" customHeight="1" thickBot="1" x14ac:dyDescent="0.25">
      <c r="B51" s="625"/>
      <c r="C51" s="628"/>
      <c r="D51" s="365"/>
      <c r="E51" s="366"/>
      <c r="F51" s="366"/>
      <c r="G51" s="367"/>
      <c r="H51" s="700"/>
      <c r="I51" s="703"/>
      <c r="J51" s="659"/>
      <c r="K51" s="653"/>
    </row>
    <row r="52" spans="2:16" ht="32.25" customHeight="1" thickBot="1" x14ac:dyDescent="0.25">
      <c r="B52" s="625"/>
      <c r="C52" s="628"/>
      <c r="D52" s="378" t="s">
        <v>80</v>
      </c>
      <c r="E52" s="381">
        <f>E53/E50</f>
        <v>0.90249394239272818</v>
      </c>
      <c r="F52" s="382" t="s">
        <v>87</v>
      </c>
      <c r="G52" s="637"/>
      <c r="H52" s="700"/>
      <c r="I52" s="703"/>
      <c r="J52" s="659"/>
      <c r="K52" s="653"/>
    </row>
    <row r="53" spans="2:16" ht="28.5" customHeight="1" thickBot="1" x14ac:dyDescent="0.25">
      <c r="B53" s="625"/>
      <c r="C53" s="628"/>
      <c r="D53" s="378" t="s">
        <v>81</v>
      </c>
      <c r="E53" s="639">
        <f>[18]EG_Table_B!$AW$67</f>
        <v>14158001.875425743</v>
      </c>
      <c r="F53" s="640"/>
      <c r="G53" s="638"/>
      <c r="H53" s="700"/>
      <c r="I53" s="703"/>
      <c r="J53" s="659"/>
      <c r="K53" s="653"/>
      <c r="M53" s="97"/>
      <c r="P53" s="98"/>
    </row>
    <row r="54" spans="2:16" ht="27.75" customHeight="1" thickBot="1" x14ac:dyDescent="0.25">
      <c r="B54" s="626"/>
      <c r="C54" s="629"/>
      <c r="D54" s="630" t="s">
        <v>82</v>
      </c>
      <c r="E54" s="631"/>
      <c r="F54" s="631"/>
      <c r="G54" s="632"/>
      <c r="H54" s="701"/>
      <c r="I54" s="704"/>
      <c r="J54" s="660"/>
      <c r="K54" s="654"/>
      <c r="P54" s="98"/>
    </row>
    <row r="55" spans="2:16" ht="67.5" customHeight="1" thickBot="1" x14ac:dyDescent="0.25">
      <c r="B55" s="348" t="s">
        <v>248</v>
      </c>
      <c r="D55" s="696"/>
      <c r="E55" s="697"/>
      <c r="F55" s="697"/>
      <c r="G55" s="698"/>
      <c r="H55" s="360"/>
      <c r="I55" s="361">
        <f>E53-C46</f>
        <v>8992301.8754257429</v>
      </c>
      <c r="J55" s="346">
        <f>0.21-0.0025</f>
        <v>0.20749999999999999</v>
      </c>
      <c r="K55" s="354">
        <f>$D$10*J55</f>
        <v>205793.24504174996</v>
      </c>
      <c r="M55" s="97"/>
      <c r="P55" s="98"/>
    </row>
    <row r="56" spans="2:16" s="101" customFormat="1" ht="25.5" customHeight="1" thickBot="1" x14ac:dyDescent="0.25">
      <c r="B56" s="661" t="s">
        <v>11</v>
      </c>
      <c r="C56" s="662">
        <f>'ES CT Gas Table A'!F23</f>
        <v>270988</v>
      </c>
      <c r="D56" s="623" t="s">
        <v>269</v>
      </c>
      <c r="E56" s="623"/>
      <c r="F56" s="623"/>
      <c r="G56" s="623"/>
      <c r="H56" s="652" t="s">
        <v>242</v>
      </c>
      <c r="I56" s="655" t="s">
        <v>262</v>
      </c>
      <c r="J56" s="658">
        <v>0.05</v>
      </c>
      <c r="K56" s="652">
        <f>$D$10*J56</f>
        <v>49588.733744999998</v>
      </c>
      <c r="M56" s="102"/>
      <c r="P56" s="103"/>
    </row>
    <row r="57" spans="2:16" s="101" customFormat="1" ht="25.5" customHeight="1" thickBot="1" x14ac:dyDescent="0.25">
      <c r="B57" s="661"/>
      <c r="C57" s="662"/>
      <c r="D57" s="623"/>
      <c r="E57" s="623"/>
      <c r="F57" s="623"/>
      <c r="G57" s="623"/>
      <c r="H57" s="653"/>
      <c r="I57" s="656"/>
      <c r="J57" s="659"/>
      <c r="K57" s="653"/>
      <c r="M57" s="102"/>
      <c r="P57" s="103"/>
    </row>
    <row r="58" spans="2:16" s="101" customFormat="1" ht="25.5" customHeight="1" thickBot="1" x14ac:dyDescent="0.25">
      <c r="B58" s="661"/>
      <c r="C58" s="662"/>
      <c r="D58" s="623"/>
      <c r="E58" s="623"/>
      <c r="F58" s="623"/>
      <c r="G58" s="623"/>
      <c r="H58" s="653"/>
      <c r="I58" s="656"/>
      <c r="J58" s="659"/>
      <c r="K58" s="653"/>
      <c r="M58" s="102"/>
      <c r="P58" s="103"/>
    </row>
    <row r="59" spans="2:16" s="101" customFormat="1" ht="25.5" customHeight="1" thickBot="1" x14ac:dyDescent="0.25">
      <c r="B59" s="661"/>
      <c r="C59" s="662"/>
      <c r="D59" s="623"/>
      <c r="E59" s="623"/>
      <c r="F59" s="623"/>
      <c r="G59" s="623"/>
      <c r="H59" s="653"/>
      <c r="I59" s="656"/>
      <c r="J59" s="659"/>
      <c r="K59" s="653"/>
      <c r="M59" s="102"/>
      <c r="P59" s="103"/>
    </row>
    <row r="60" spans="2:16" s="101" customFormat="1" ht="46.5" customHeight="1" thickBot="1" x14ac:dyDescent="0.25">
      <c r="B60" s="661"/>
      <c r="C60" s="662"/>
      <c r="D60" s="623"/>
      <c r="E60" s="623"/>
      <c r="F60" s="623"/>
      <c r="G60" s="623"/>
      <c r="H60" s="654"/>
      <c r="I60" s="657"/>
      <c r="J60" s="660"/>
      <c r="K60" s="654"/>
      <c r="M60" s="102"/>
      <c r="P60" s="103"/>
    </row>
    <row r="61" spans="2:16" ht="189" customHeight="1" thickBot="1" x14ac:dyDescent="0.25">
      <c r="B61" s="438" t="s">
        <v>249</v>
      </c>
      <c r="C61" s="436" t="e">
        <f>'ES CT Gas Table A'!$F$20+'ES CT Gas Table A'!#REF!</f>
        <v>#REF!</v>
      </c>
      <c r="D61" s="623" t="s">
        <v>268</v>
      </c>
      <c r="E61" s="623"/>
      <c r="F61" s="623"/>
      <c r="G61" s="623"/>
      <c r="H61" s="361" t="s">
        <v>242</v>
      </c>
      <c r="I61" s="437" t="s">
        <v>261</v>
      </c>
      <c r="J61" s="346">
        <v>0.05</v>
      </c>
      <c r="K61" s="361">
        <f>$D$10*J61</f>
        <v>49588.733744999998</v>
      </c>
      <c r="P61" s="98"/>
    </row>
    <row r="62" spans="2:16" ht="189" customHeight="1" thickBot="1" x14ac:dyDescent="0.25">
      <c r="B62" s="348" t="s">
        <v>263</v>
      </c>
      <c r="C62" s="357" t="s">
        <v>5</v>
      </c>
      <c r="D62" s="623" t="s">
        <v>264</v>
      </c>
      <c r="E62" s="623"/>
      <c r="F62" s="623"/>
      <c r="G62" s="623"/>
      <c r="H62" s="437" t="s">
        <v>265</v>
      </c>
      <c r="I62" s="435" t="s">
        <v>266</v>
      </c>
      <c r="J62" s="346">
        <v>0.01</v>
      </c>
      <c r="K62" s="361">
        <f>$D$10*J62</f>
        <v>9917.7467489999981</v>
      </c>
      <c r="P62" s="98"/>
    </row>
    <row r="63" spans="2:16" ht="34.5" customHeight="1" thickBot="1" x14ac:dyDescent="0.3">
      <c r="B63" s="649" t="s">
        <v>267</v>
      </c>
      <c r="C63" s="650"/>
      <c r="D63" s="650"/>
      <c r="E63" s="650"/>
      <c r="F63" s="650"/>
      <c r="G63" s="650"/>
      <c r="H63" s="651"/>
      <c r="I63" s="375"/>
      <c r="J63" s="362">
        <f>SUM(J28:J62)</f>
        <v>1.0000000000000002</v>
      </c>
      <c r="K63" s="363">
        <f>SUM(K28:K62)</f>
        <v>991774.67489999987</v>
      </c>
    </row>
    <row r="64" spans="2:16" ht="38.25" customHeight="1" x14ac:dyDescent="0.2">
      <c r="B64" s="95"/>
      <c r="C64" s="95"/>
      <c r="D64" s="99"/>
      <c r="E64" s="95"/>
      <c r="F64" s="95"/>
      <c r="G64" s="95"/>
      <c r="H64" s="95"/>
      <c r="I64" s="95"/>
      <c r="J64" s="96"/>
      <c r="K64" s="105"/>
    </row>
    <row r="65" spans="2:11" ht="21.75" customHeight="1" x14ac:dyDescent="0.2">
      <c r="B65" s="95"/>
      <c r="C65" s="95"/>
      <c r="D65" s="95"/>
      <c r="E65" s="95"/>
      <c r="F65" s="95"/>
      <c r="G65" s="95"/>
      <c r="H65" s="95"/>
      <c r="I65" s="95"/>
      <c r="J65" s="96"/>
      <c r="K65" s="105"/>
    </row>
    <row r="66" spans="2:11" ht="30" customHeight="1" x14ac:dyDescent="0.2">
      <c r="B66" s="95"/>
      <c r="C66" s="95"/>
      <c r="D66" s="95"/>
      <c r="E66" s="95"/>
      <c r="F66" s="95"/>
      <c r="G66" s="95"/>
      <c r="H66" s="95"/>
      <c r="I66" s="95"/>
      <c r="J66" s="96"/>
      <c r="K66" s="105"/>
    </row>
    <row r="67" spans="2:11" ht="18.75" customHeight="1" x14ac:dyDescent="0.2">
      <c r="B67" s="95"/>
      <c r="C67" s="95"/>
      <c r="D67" s="95"/>
      <c r="E67" s="95"/>
      <c r="F67" s="95"/>
      <c r="G67" s="95"/>
      <c r="H67" s="95"/>
      <c r="I67" s="95"/>
      <c r="J67" s="96"/>
      <c r="K67" s="105"/>
    </row>
    <row r="68" spans="2:11" ht="18.75" customHeight="1" x14ac:dyDescent="0.2">
      <c r="B68" s="95"/>
      <c r="C68" s="95"/>
      <c r="D68" s="95"/>
      <c r="E68" s="95"/>
      <c r="F68" s="95"/>
      <c r="G68" s="95"/>
      <c r="H68" s="95"/>
      <c r="I68" s="95"/>
      <c r="J68" s="96"/>
      <c r="K68" s="105"/>
    </row>
    <row r="69" spans="2:11" ht="18.75" customHeight="1" x14ac:dyDescent="0.2">
      <c r="B69" s="95"/>
      <c r="C69" s="95"/>
      <c r="D69" s="95"/>
      <c r="E69" s="95"/>
      <c r="F69" s="95"/>
      <c r="G69" s="95"/>
      <c r="H69" s="95"/>
      <c r="I69" s="95"/>
      <c r="J69" s="96"/>
      <c r="K69" s="105"/>
    </row>
    <row r="70" spans="2:11" ht="30.75" customHeight="1" x14ac:dyDescent="0.2">
      <c r="B70" s="95"/>
      <c r="C70" s="95"/>
      <c r="D70" s="95"/>
      <c r="E70" s="95"/>
      <c r="F70" s="95"/>
      <c r="G70" s="95"/>
      <c r="H70" s="95"/>
      <c r="I70" s="95"/>
      <c r="J70" s="96"/>
      <c r="K70" s="105"/>
    </row>
    <row r="71" spans="2:11" ht="18.75" customHeight="1" x14ac:dyDescent="0.2">
      <c r="B71" s="95"/>
      <c r="C71" s="95"/>
      <c r="D71" s="95"/>
      <c r="E71" s="95"/>
      <c r="F71" s="95"/>
      <c r="G71" s="95"/>
      <c r="H71" s="95"/>
      <c r="I71" s="95"/>
      <c r="J71" s="96"/>
      <c r="K71" s="105"/>
    </row>
    <row r="72" spans="2:11" ht="18.75" customHeight="1" x14ac:dyDescent="0.2">
      <c r="B72" s="95"/>
      <c r="C72" s="95"/>
      <c r="D72" s="95"/>
      <c r="E72" s="95"/>
      <c r="F72" s="95"/>
      <c r="G72" s="95"/>
      <c r="H72" s="95"/>
      <c r="I72" s="95"/>
      <c r="J72" s="96"/>
      <c r="K72" s="105"/>
    </row>
    <row r="73" spans="2:11" ht="18.75" customHeight="1" x14ac:dyDescent="0.2">
      <c r="B73" s="95"/>
      <c r="C73" s="95"/>
      <c r="D73" s="95"/>
      <c r="E73" s="95"/>
      <c r="F73" s="95"/>
      <c r="G73" s="95"/>
      <c r="H73" s="95"/>
      <c r="I73" s="95"/>
      <c r="J73" s="96"/>
      <c r="K73" s="105"/>
    </row>
    <row r="74" spans="2:11" ht="23.25" customHeight="1" x14ac:dyDescent="0.2">
      <c r="B74" s="95"/>
      <c r="C74" s="95"/>
      <c r="D74" s="95"/>
      <c r="E74" s="95"/>
      <c r="F74" s="95"/>
      <c r="G74" s="95"/>
      <c r="H74" s="95"/>
      <c r="I74" s="95"/>
      <c r="J74" s="96"/>
      <c r="K74" s="105"/>
    </row>
    <row r="75" spans="2:11" ht="19.5" customHeight="1" x14ac:dyDescent="0.2">
      <c r="B75" s="95"/>
      <c r="C75" s="95"/>
      <c r="D75" s="95"/>
      <c r="E75" s="95"/>
      <c r="F75" s="95"/>
      <c r="G75" s="95"/>
      <c r="H75" s="95"/>
      <c r="I75" s="95"/>
      <c r="J75" s="96"/>
      <c r="K75" s="105"/>
    </row>
    <row r="76" spans="2:11" ht="14.25" x14ac:dyDescent="0.2">
      <c r="B76" s="95"/>
      <c r="C76" s="95"/>
      <c r="D76" s="95"/>
      <c r="E76" s="95"/>
      <c r="F76" s="95"/>
      <c r="G76" s="95"/>
      <c r="H76" s="95"/>
      <c r="I76" s="95"/>
      <c r="J76" s="96"/>
      <c r="K76" s="105"/>
    </row>
    <row r="77" spans="2:11" ht="14.25" x14ac:dyDescent="0.2">
      <c r="B77" s="95"/>
      <c r="C77" s="95"/>
      <c r="D77" s="95"/>
      <c r="E77" s="95"/>
      <c r="F77" s="95"/>
      <c r="G77" s="95"/>
      <c r="H77" s="95"/>
      <c r="I77" s="95"/>
      <c r="J77" s="96"/>
      <c r="K77" s="105"/>
    </row>
    <row r="78" spans="2:11" ht="14.25" x14ac:dyDescent="0.2">
      <c r="B78" s="95"/>
      <c r="C78" s="95"/>
      <c r="D78" s="95"/>
      <c r="E78" s="95"/>
      <c r="F78" s="95"/>
      <c r="G78" s="95"/>
      <c r="H78" s="95"/>
      <c r="I78" s="95"/>
      <c r="J78" s="96"/>
      <c r="K78" s="105"/>
    </row>
    <row r="79" spans="2:11" ht="14.25" x14ac:dyDescent="0.2">
      <c r="B79" s="95"/>
      <c r="C79" s="95"/>
      <c r="D79" s="95"/>
      <c r="E79" s="95"/>
      <c r="F79" s="95"/>
      <c r="G79" s="95"/>
      <c r="H79" s="95"/>
      <c r="I79" s="95"/>
      <c r="J79" s="96"/>
      <c r="K79" s="105"/>
    </row>
    <row r="80" spans="2:11" ht="14.25" x14ac:dyDescent="0.2">
      <c r="B80" s="95"/>
      <c r="C80" s="95"/>
      <c r="D80" s="95"/>
      <c r="E80" s="95"/>
      <c r="F80" s="95"/>
      <c r="G80" s="95"/>
      <c r="H80" s="95"/>
      <c r="I80" s="95"/>
      <c r="J80" s="96"/>
      <c r="K80" s="105"/>
    </row>
    <row r="81" spans="2:11" ht="14.25" x14ac:dyDescent="0.2">
      <c r="B81" s="95"/>
      <c r="C81" s="95"/>
      <c r="D81" s="95"/>
      <c r="E81" s="95"/>
      <c r="F81" s="95"/>
      <c r="G81" s="95"/>
      <c r="H81" s="95"/>
      <c r="I81" s="95"/>
      <c r="J81" s="96"/>
      <c r="K81" s="105"/>
    </row>
    <row r="82" spans="2:11" ht="14.25" x14ac:dyDescent="0.2">
      <c r="B82" s="95"/>
      <c r="C82" s="95"/>
      <c r="D82" s="95"/>
      <c r="E82" s="95"/>
      <c r="F82" s="95"/>
      <c r="G82" s="95"/>
      <c r="H82" s="95"/>
      <c r="I82" s="95"/>
      <c r="J82" s="96"/>
      <c r="K82" s="105"/>
    </row>
    <row r="83" spans="2:11" ht="14.25" x14ac:dyDescent="0.2">
      <c r="B83" s="95"/>
      <c r="C83" s="95"/>
      <c r="D83" s="95"/>
      <c r="E83" s="95"/>
      <c r="F83" s="95"/>
      <c r="G83" s="95"/>
      <c r="H83" s="95"/>
      <c r="I83" s="95"/>
      <c r="J83" s="96"/>
      <c r="K83" s="105"/>
    </row>
    <row r="84" spans="2:11" ht="14.25" x14ac:dyDescent="0.2">
      <c r="B84" s="95"/>
      <c r="C84" s="95"/>
      <c r="D84" s="95"/>
      <c r="E84" s="95"/>
      <c r="F84" s="95"/>
      <c r="G84" s="95"/>
      <c r="H84" s="95"/>
      <c r="I84" s="95"/>
      <c r="J84" s="96"/>
      <c r="K84" s="105"/>
    </row>
    <row r="85" spans="2:11" ht="14.25" x14ac:dyDescent="0.2">
      <c r="B85" s="95"/>
      <c r="C85" s="95"/>
      <c r="D85" s="95"/>
      <c r="E85" s="95"/>
      <c r="F85" s="95"/>
      <c r="G85" s="95"/>
      <c r="H85" s="95"/>
      <c r="I85" s="95"/>
      <c r="J85" s="96"/>
      <c r="K85" s="105"/>
    </row>
    <row r="86" spans="2:11" ht="14.25" x14ac:dyDescent="0.2">
      <c r="B86" s="95"/>
      <c r="C86" s="95"/>
      <c r="D86" s="95"/>
      <c r="E86" s="95"/>
      <c r="F86" s="95"/>
      <c r="G86" s="95"/>
      <c r="H86" s="95"/>
      <c r="I86" s="95"/>
      <c r="J86" s="96"/>
      <c r="K86" s="105"/>
    </row>
    <row r="87" spans="2:11" ht="14.25" x14ac:dyDescent="0.2">
      <c r="B87" s="95"/>
      <c r="C87" s="95"/>
      <c r="D87" s="95"/>
      <c r="E87" s="95"/>
      <c r="F87" s="95"/>
      <c r="G87" s="95"/>
      <c r="H87" s="95"/>
      <c r="I87" s="95"/>
      <c r="J87" s="96"/>
      <c r="K87" s="105"/>
    </row>
  </sheetData>
  <mergeCells count="71">
    <mergeCell ref="D55:G55"/>
    <mergeCell ref="H46:H54"/>
    <mergeCell ref="I48:I54"/>
    <mergeCell ref="J28:J39"/>
    <mergeCell ref="K28:K39"/>
    <mergeCell ref="E34:F34"/>
    <mergeCell ref="E35:F35"/>
    <mergeCell ref="K46:K54"/>
    <mergeCell ref="J46:J54"/>
    <mergeCell ref="D41:G41"/>
    <mergeCell ref="D42:G42"/>
    <mergeCell ref="C43:K43"/>
    <mergeCell ref="D40:G40"/>
    <mergeCell ref="H44:H45"/>
    <mergeCell ref="I44:I45"/>
    <mergeCell ref="J44:J45"/>
    <mergeCell ref="I33:I39"/>
    <mergeCell ref="B28:B39"/>
    <mergeCell ref="C28:C39"/>
    <mergeCell ref="H28:H39"/>
    <mergeCell ref="D36:G36"/>
    <mergeCell ref="E30:F30"/>
    <mergeCell ref="E31:F31"/>
    <mergeCell ref="D39:G39"/>
    <mergeCell ref="E32:F32"/>
    <mergeCell ref="E33:F33"/>
    <mergeCell ref="D28:G29"/>
    <mergeCell ref="I28:I32"/>
    <mergeCell ref="B2:E2"/>
    <mergeCell ref="B4:K4"/>
    <mergeCell ref="B5:D5"/>
    <mergeCell ref="B23:C23"/>
    <mergeCell ref="D23:G24"/>
    <mergeCell ref="H23:K23"/>
    <mergeCell ref="B24:C24"/>
    <mergeCell ref="B17:D18"/>
    <mergeCell ref="B25:K25"/>
    <mergeCell ref="B26:C27"/>
    <mergeCell ref="D26:D27"/>
    <mergeCell ref="E26:F27"/>
    <mergeCell ref="G26:G27"/>
    <mergeCell ref="H26:H27"/>
    <mergeCell ref="I26:I27"/>
    <mergeCell ref="J26:J27"/>
    <mergeCell ref="K26:K27"/>
    <mergeCell ref="B63:H63"/>
    <mergeCell ref="H56:H60"/>
    <mergeCell ref="I56:I60"/>
    <mergeCell ref="J56:J60"/>
    <mergeCell ref="K56:K60"/>
    <mergeCell ref="D62:G62"/>
    <mergeCell ref="B56:B60"/>
    <mergeCell ref="C56:C60"/>
    <mergeCell ref="D56:G60"/>
    <mergeCell ref="D61:G61"/>
    <mergeCell ref="K44:K45"/>
    <mergeCell ref="I46:I47"/>
    <mergeCell ref="B46:B54"/>
    <mergeCell ref="C46:C54"/>
    <mergeCell ref="D54:G54"/>
    <mergeCell ref="E46:F46"/>
    <mergeCell ref="E47:F47"/>
    <mergeCell ref="E48:F48"/>
    <mergeCell ref="E49:F49"/>
    <mergeCell ref="E50:F50"/>
    <mergeCell ref="G52:G53"/>
    <mergeCell ref="E53:F53"/>
    <mergeCell ref="B44:C45"/>
    <mergeCell ref="D44:D45"/>
    <mergeCell ref="E44:F45"/>
    <mergeCell ref="G44:G45"/>
  </mergeCells>
  <printOptions horizontalCentered="1"/>
  <pageMargins left="0" right="0" top="1" bottom="0.5" header="0.5" footer="0.5"/>
  <pageSetup scale="60" fitToHeight="5" orientation="landscape"/>
  <headerFooter alignWithMargins="0">
    <oddHeader xml:space="preserve">&amp;C&amp;"Arial,Bold"&amp;14
</oddHeader>
    <oddFooter xml:space="preserve">&amp;CTotals may vary due to rounding
</oddFooter>
  </headerFooter>
  <rowBreaks count="2" manualBreakCount="2">
    <brk id="22" min="1" max="12" man="1"/>
    <brk id="43" max="16383" man="1"/>
  </rowBreaks>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AECF1-7D2C-4974-997D-8B4C4026FFEF}">
  <sheetPr>
    <tabColor rgb="FFFF66FF"/>
  </sheetPr>
  <dimension ref="B2:Q87"/>
  <sheetViews>
    <sheetView showGridLines="0" topLeftCell="A28" zoomScale="90" zoomScaleNormal="90" zoomScalePageLayoutView="80" workbookViewId="0">
      <selection activeCell="C7" sqref="C7:C14"/>
    </sheetView>
  </sheetViews>
  <sheetFormatPr defaultRowHeight="12.75" x14ac:dyDescent="0.2"/>
  <cols>
    <col min="2" max="2" width="24.7109375" customWidth="1"/>
    <col min="3" max="3" width="17.85546875" style="80" customWidth="1"/>
    <col min="4" max="4" width="33.140625" customWidth="1"/>
    <col min="5" max="5" width="17.85546875" customWidth="1"/>
    <col min="6" max="6" width="9" customWidth="1"/>
    <col min="7" max="7" width="23.28515625" customWidth="1"/>
    <col min="8" max="8" width="22.42578125" customWidth="1"/>
    <col min="9" max="9" width="31.5703125" style="80" customWidth="1"/>
    <col min="10" max="10" width="13.28515625" style="370" customWidth="1"/>
    <col min="11" max="11" width="16" style="104" customWidth="1"/>
    <col min="14" max="14" width="7.5703125" customWidth="1"/>
    <col min="15" max="15" width="0.5703125" customWidth="1"/>
    <col min="16" max="16" width="11.5703125" bestFit="1" customWidth="1"/>
    <col min="256" max="256" width="24.7109375" customWidth="1"/>
    <col min="257" max="257" width="17.85546875" customWidth="1"/>
    <col min="258" max="258" width="20.7109375" customWidth="1"/>
    <col min="259" max="259" width="16.5703125" customWidth="1"/>
    <col min="260" max="260" width="7.140625" customWidth="1"/>
    <col min="261" max="261" width="15.140625" customWidth="1"/>
    <col min="262" max="262" width="6.28515625" customWidth="1"/>
    <col min="263" max="263" width="19.7109375" customWidth="1"/>
    <col min="264" max="264" width="22.42578125" customWidth="1"/>
    <col min="265" max="265" width="31.5703125" customWidth="1"/>
    <col min="266" max="266" width="10.85546875" customWidth="1"/>
    <col min="267" max="267" width="16" customWidth="1"/>
    <col min="270" max="270" width="7.5703125" customWidth="1"/>
    <col min="271" max="271" width="0.5703125" customWidth="1"/>
    <col min="272" max="272" width="11.5703125" bestFit="1" customWidth="1"/>
    <col min="512" max="512" width="24.7109375" customWidth="1"/>
    <col min="513" max="513" width="17.85546875" customWidth="1"/>
    <col min="514" max="514" width="20.7109375" customWidth="1"/>
    <col min="515" max="515" width="16.5703125" customWidth="1"/>
    <col min="516" max="516" width="7.140625" customWidth="1"/>
    <col min="517" max="517" width="15.140625" customWidth="1"/>
    <col min="518" max="518" width="6.28515625" customWidth="1"/>
    <col min="519" max="519" width="19.7109375" customWidth="1"/>
    <col min="520" max="520" width="22.42578125" customWidth="1"/>
    <col min="521" max="521" width="31.5703125" customWidth="1"/>
    <col min="522" max="522" width="10.85546875" customWidth="1"/>
    <col min="523" max="523" width="16" customWidth="1"/>
    <col min="526" max="526" width="7.5703125" customWidth="1"/>
    <col min="527" max="527" width="0.5703125" customWidth="1"/>
    <col min="528" max="528" width="11.5703125" bestFit="1" customWidth="1"/>
    <col min="768" max="768" width="24.7109375" customWidth="1"/>
    <col min="769" max="769" width="17.85546875" customWidth="1"/>
    <col min="770" max="770" width="20.7109375" customWidth="1"/>
    <col min="771" max="771" width="16.5703125" customWidth="1"/>
    <col min="772" max="772" width="7.140625" customWidth="1"/>
    <col min="773" max="773" width="15.140625" customWidth="1"/>
    <col min="774" max="774" width="6.28515625" customWidth="1"/>
    <col min="775" max="775" width="19.7109375" customWidth="1"/>
    <col min="776" max="776" width="22.42578125" customWidth="1"/>
    <col min="777" max="777" width="31.5703125" customWidth="1"/>
    <col min="778" max="778" width="10.85546875" customWidth="1"/>
    <col min="779" max="779" width="16" customWidth="1"/>
    <col min="782" max="782" width="7.5703125" customWidth="1"/>
    <col min="783" max="783" width="0.5703125" customWidth="1"/>
    <col min="784" max="784" width="11.5703125" bestFit="1" customWidth="1"/>
    <col min="1024" max="1024" width="24.7109375" customWidth="1"/>
    <col min="1025" max="1025" width="17.85546875" customWidth="1"/>
    <col min="1026" max="1026" width="20.7109375" customWidth="1"/>
    <col min="1027" max="1027" width="16.5703125" customWidth="1"/>
    <col min="1028" max="1028" width="7.140625" customWidth="1"/>
    <col min="1029" max="1029" width="15.140625" customWidth="1"/>
    <col min="1030" max="1030" width="6.28515625" customWidth="1"/>
    <col min="1031" max="1031" width="19.7109375" customWidth="1"/>
    <col min="1032" max="1032" width="22.42578125" customWidth="1"/>
    <col min="1033" max="1033" width="31.5703125" customWidth="1"/>
    <col min="1034" max="1034" width="10.85546875" customWidth="1"/>
    <col min="1035" max="1035" width="16" customWidth="1"/>
    <col min="1038" max="1038" width="7.5703125" customWidth="1"/>
    <col min="1039" max="1039" width="0.5703125" customWidth="1"/>
    <col min="1040" max="1040" width="11.5703125" bestFit="1" customWidth="1"/>
    <col min="1280" max="1280" width="24.7109375" customWidth="1"/>
    <col min="1281" max="1281" width="17.85546875" customWidth="1"/>
    <col min="1282" max="1282" width="20.7109375" customWidth="1"/>
    <col min="1283" max="1283" width="16.5703125" customWidth="1"/>
    <col min="1284" max="1284" width="7.140625" customWidth="1"/>
    <col min="1285" max="1285" width="15.140625" customWidth="1"/>
    <col min="1286" max="1286" width="6.28515625" customWidth="1"/>
    <col min="1287" max="1287" width="19.7109375" customWidth="1"/>
    <col min="1288" max="1288" width="22.42578125" customWidth="1"/>
    <col min="1289" max="1289" width="31.5703125" customWidth="1"/>
    <col min="1290" max="1290" width="10.85546875" customWidth="1"/>
    <col min="1291" max="1291" width="16" customWidth="1"/>
    <col min="1294" max="1294" width="7.5703125" customWidth="1"/>
    <col min="1295" max="1295" width="0.5703125" customWidth="1"/>
    <col min="1296" max="1296" width="11.5703125" bestFit="1" customWidth="1"/>
    <col min="1536" max="1536" width="24.7109375" customWidth="1"/>
    <col min="1537" max="1537" width="17.85546875" customWidth="1"/>
    <col min="1538" max="1538" width="20.7109375" customWidth="1"/>
    <col min="1539" max="1539" width="16.5703125" customWidth="1"/>
    <col min="1540" max="1540" width="7.140625" customWidth="1"/>
    <col min="1541" max="1541" width="15.140625" customWidth="1"/>
    <col min="1542" max="1542" width="6.28515625" customWidth="1"/>
    <col min="1543" max="1543" width="19.7109375" customWidth="1"/>
    <col min="1544" max="1544" width="22.42578125" customWidth="1"/>
    <col min="1545" max="1545" width="31.5703125" customWidth="1"/>
    <col min="1546" max="1546" width="10.85546875" customWidth="1"/>
    <col min="1547" max="1547" width="16" customWidth="1"/>
    <col min="1550" max="1550" width="7.5703125" customWidth="1"/>
    <col min="1551" max="1551" width="0.5703125" customWidth="1"/>
    <col min="1552" max="1552" width="11.5703125" bestFit="1" customWidth="1"/>
    <col min="1792" max="1792" width="24.7109375" customWidth="1"/>
    <col min="1793" max="1793" width="17.85546875" customWidth="1"/>
    <col min="1794" max="1794" width="20.7109375" customWidth="1"/>
    <col min="1795" max="1795" width="16.5703125" customWidth="1"/>
    <col min="1796" max="1796" width="7.140625" customWidth="1"/>
    <col min="1797" max="1797" width="15.140625" customWidth="1"/>
    <col min="1798" max="1798" width="6.28515625" customWidth="1"/>
    <col min="1799" max="1799" width="19.7109375" customWidth="1"/>
    <col min="1800" max="1800" width="22.42578125" customWidth="1"/>
    <col min="1801" max="1801" width="31.5703125" customWidth="1"/>
    <col min="1802" max="1802" width="10.85546875" customWidth="1"/>
    <col min="1803" max="1803" width="16" customWidth="1"/>
    <col min="1806" max="1806" width="7.5703125" customWidth="1"/>
    <col min="1807" max="1807" width="0.5703125" customWidth="1"/>
    <col min="1808" max="1808" width="11.5703125" bestFit="1" customWidth="1"/>
    <col min="2048" max="2048" width="24.7109375" customWidth="1"/>
    <col min="2049" max="2049" width="17.85546875" customWidth="1"/>
    <col min="2050" max="2050" width="20.7109375" customWidth="1"/>
    <col min="2051" max="2051" width="16.5703125" customWidth="1"/>
    <col min="2052" max="2052" width="7.140625" customWidth="1"/>
    <col min="2053" max="2053" width="15.140625" customWidth="1"/>
    <col min="2054" max="2054" width="6.28515625" customWidth="1"/>
    <col min="2055" max="2055" width="19.7109375" customWidth="1"/>
    <col min="2056" max="2056" width="22.42578125" customWidth="1"/>
    <col min="2057" max="2057" width="31.5703125" customWidth="1"/>
    <col min="2058" max="2058" width="10.85546875" customWidth="1"/>
    <col min="2059" max="2059" width="16" customWidth="1"/>
    <col min="2062" max="2062" width="7.5703125" customWidth="1"/>
    <col min="2063" max="2063" width="0.5703125" customWidth="1"/>
    <col min="2064" max="2064" width="11.5703125" bestFit="1" customWidth="1"/>
    <col min="2304" max="2304" width="24.7109375" customWidth="1"/>
    <col min="2305" max="2305" width="17.85546875" customWidth="1"/>
    <col min="2306" max="2306" width="20.7109375" customWidth="1"/>
    <col min="2307" max="2307" width="16.5703125" customWidth="1"/>
    <col min="2308" max="2308" width="7.140625" customWidth="1"/>
    <col min="2309" max="2309" width="15.140625" customWidth="1"/>
    <col min="2310" max="2310" width="6.28515625" customWidth="1"/>
    <col min="2311" max="2311" width="19.7109375" customWidth="1"/>
    <col min="2312" max="2312" width="22.42578125" customWidth="1"/>
    <col min="2313" max="2313" width="31.5703125" customWidth="1"/>
    <col min="2314" max="2314" width="10.85546875" customWidth="1"/>
    <col min="2315" max="2315" width="16" customWidth="1"/>
    <col min="2318" max="2318" width="7.5703125" customWidth="1"/>
    <col min="2319" max="2319" width="0.5703125" customWidth="1"/>
    <col min="2320" max="2320" width="11.5703125" bestFit="1" customWidth="1"/>
    <col min="2560" max="2560" width="24.7109375" customWidth="1"/>
    <col min="2561" max="2561" width="17.85546875" customWidth="1"/>
    <col min="2562" max="2562" width="20.7109375" customWidth="1"/>
    <col min="2563" max="2563" width="16.5703125" customWidth="1"/>
    <col min="2564" max="2564" width="7.140625" customWidth="1"/>
    <col min="2565" max="2565" width="15.140625" customWidth="1"/>
    <col min="2566" max="2566" width="6.28515625" customWidth="1"/>
    <col min="2567" max="2567" width="19.7109375" customWidth="1"/>
    <col min="2568" max="2568" width="22.42578125" customWidth="1"/>
    <col min="2569" max="2569" width="31.5703125" customWidth="1"/>
    <col min="2570" max="2570" width="10.85546875" customWidth="1"/>
    <col min="2571" max="2571" width="16" customWidth="1"/>
    <col min="2574" max="2574" width="7.5703125" customWidth="1"/>
    <col min="2575" max="2575" width="0.5703125" customWidth="1"/>
    <col min="2576" max="2576" width="11.5703125" bestFit="1" customWidth="1"/>
    <col min="2816" max="2816" width="24.7109375" customWidth="1"/>
    <col min="2817" max="2817" width="17.85546875" customWidth="1"/>
    <col min="2818" max="2818" width="20.7109375" customWidth="1"/>
    <col min="2819" max="2819" width="16.5703125" customWidth="1"/>
    <col min="2820" max="2820" width="7.140625" customWidth="1"/>
    <col min="2821" max="2821" width="15.140625" customWidth="1"/>
    <col min="2822" max="2822" width="6.28515625" customWidth="1"/>
    <col min="2823" max="2823" width="19.7109375" customWidth="1"/>
    <col min="2824" max="2824" width="22.42578125" customWidth="1"/>
    <col min="2825" max="2825" width="31.5703125" customWidth="1"/>
    <col min="2826" max="2826" width="10.85546875" customWidth="1"/>
    <col min="2827" max="2827" width="16" customWidth="1"/>
    <col min="2830" max="2830" width="7.5703125" customWidth="1"/>
    <col min="2831" max="2831" width="0.5703125" customWidth="1"/>
    <col min="2832" max="2832" width="11.5703125" bestFit="1" customWidth="1"/>
    <col min="3072" max="3072" width="24.7109375" customWidth="1"/>
    <col min="3073" max="3073" width="17.85546875" customWidth="1"/>
    <col min="3074" max="3074" width="20.7109375" customWidth="1"/>
    <col min="3075" max="3075" width="16.5703125" customWidth="1"/>
    <col min="3076" max="3076" width="7.140625" customWidth="1"/>
    <col min="3077" max="3077" width="15.140625" customWidth="1"/>
    <col min="3078" max="3078" width="6.28515625" customWidth="1"/>
    <col min="3079" max="3079" width="19.7109375" customWidth="1"/>
    <col min="3080" max="3080" width="22.42578125" customWidth="1"/>
    <col min="3081" max="3081" width="31.5703125" customWidth="1"/>
    <col min="3082" max="3082" width="10.85546875" customWidth="1"/>
    <col min="3083" max="3083" width="16" customWidth="1"/>
    <col min="3086" max="3086" width="7.5703125" customWidth="1"/>
    <col min="3087" max="3087" width="0.5703125" customWidth="1"/>
    <col min="3088" max="3088" width="11.5703125" bestFit="1" customWidth="1"/>
    <col min="3328" max="3328" width="24.7109375" customWidth="1"/>
    <col min="3329" max="3329" width="17.85546875" customWidth="1"/>
    <col min="3330" max="3330" width="20.7109375" customWidth="1"/>
    <col min="3331" max="3331" width="16.5703125" customWidth="1"/>
    <col min="3332" max="3332" width="7.140625" customWidth="1"/>
    <col min="3333" max="3333" width="15.140625" customWidth="1"/>
    <col min="3334" max="3334" width="6.28515625" customWidth="1"/>
    <col min="3335" max="3335" width="19.7109375" customWidth="1"/>
    <col min="3336" max="3336" width="22.42578125" customWidth="1"/>
    <col min="3337" max="3337" width="31.5703125" customWidth="1"/>
    <col min="3338" max="3338" width="10.85546875" customWidth="1"/>
    <col min="3339" max="3339" width="16" customWidth="1"/>
    <col min="3342" max="3342" width="7.5703125" customWidth="1"/>
    <col min="3343" max="3343" width="0.5703125" customWidth="1"/>
    <col min="3344" max="3344" width="11.5703125" bestFit="1" customWidth="1"/>
    <col min="3584" max="3584" width="24.7109375" customWidth="1"/>
    <col min="3585" max="3585" width="17.85546875" customWidth="1"/>
    <col min="3586" max="3586" width="20.7109375" customWidth="1"/>
    <col min="3587" max="3587" width="16.5703125" customWidth="1"/>
    <col min="3588" max="3588" width="7.140625" customWidth="1"/>
    <col min="3589" max="3589" width="15.140625" customWidth="1"/>
    <col min="3590" max="3590" width="6.28515625" customWidth="1"/>
    <col min="3591" max="3591" width="19.7109375" customWidth="1"/>
    <col min="3592" max="3592" width="22.42578125" customWidth="1"/>
    <col min="3593" max="3593" width="31.5703125" customWidth="1"/>
    <col min="3594" max="3594" width="10.85546875" customWidth="1"/>
    <col min="3595" max="3595" width="16" customWidth="1"/>
    <col min="3598" max="3598" width="7.5703125" customWidth="1"/>
    <col min="3599" max="3599" width="0.5703125" customWidth="1"/>
    <col min="3600" max="3600" width="11.5703125" bestFit="1" customWidth="1"/>
    <col min="3840" max="3840" width="24.7109375" customWidth="1"/>
    <col min="3841" max="3841" width="17.85546875" customWidth="1"/>
    <col min="3842" max="3842" width="20.7109375" customWidth="1"/>
    <col min="3843" max="3843" width="16.5703125" customWidth="1"/>
    <col min="3844" max="3844" width="7.140625" customWidth="1"/>
    <col min="3845" max="3845" width="15.140625" customWidth="1"/>
    <col min="3846" max="3846" width="6.28515625" customWidth="1"/>
    <col min="3847" max="3847" width="19.7109375" customWidth="1"/>
    <col min="3848" max="3848" width="22.42578125" customWidth="1"/>
    <col min="3849" max="3849" width="31.5703125" customWidth="1"/>
    <col min="3850" max="3850" width="10.85546875" customWidth="1"/>
    <col min="3851" max="3851" width="16" customWidth="1"/>
    <col min="3854" max="3854" width="7.5703125" customWidth="1"/>
    <col min="3855" max="3855" width="0.5703125" customWidth="1"/>
    <col min="3856" max="3856" width="11.5703125" bestFit="1" customWidth="1"/>
    <col min="4096" max="4096" width="24.7109375" customWidth="1"/>
    <col min="4097" max="4097" width="17.85546875" customWidth="1"/>
    <col min="4098" max="4098" width="20.7109375" customWidth="1"/>
    <col min="4099" max="4099" width="16.5703125" customWidth="1"/>
    <col min="4100" max="4100" width="7.140625" customWidth="1"/>
    <col min="4101" max="4101" width="15.140625" customWidth="1"/>
    <col min="4102" max="4102" width="6.28515625" customWidth="1"/>
    <col min="4103" max="4103" width="19.7109375" customWidth="1"/>
    <col min="4104" max="4104" width="22.42578125" customWidth="1"/>
    <col min="4105" max="4105" width="31.5703125" customWidth="1"/>
    <col min="4106" max="4106" width="10.85546875" customWidth="1"/>
    <col min="4107" max="4107" width="16" customWidth="1"/>
    <col min="4110" max="4110" width="7.5703125" customWidth="1"/>
    <col min="4111" max="4111" width="0.5703125" customWidth="1"/>
    <col min="4112" max="4112" width="11.5703125" bestFit="1" customWidth="1"/>
    <col min="4352" max="4352" width="24.7109375" customWidth="1"/>
    <col min="4353" max="4353" width="17.85546875" customWidth="1"/>
    <col min="4354" max="4354" width="20.7109375" customWidth="1"/>
    <col min="4355" max="4355" width="16.5703125" customWidth="1"/>
    <col min="4356" max="4356" width="7.140625" customWidth="1"/>
    <col min="4357" max="4357" width="15.140625" customWidth="1"/>
    <col min="4358" max="4358" width="6.28515625" customWidth="1"/>
    <col min="4359" max="4359" width="19.7109375" customWidth="1"/>
    <col min="4360" max="4360" width="22.42578125" customWidth="1"/>
    <col min="4361" max="4361" width="31.5703125" customWidth="1"/>
    <col min="4362" max="4362" width="10.85546875" customWidth="1"/>
    <col min="4363" max="4363" width="16" customWidth="1"/>
    <col min="4366" max="4366" width="7.5703125" customWidth="1"/>
    <col min="4367" max="4367" width="0.5703125" customWidth="1"/>
    <col min="4368" max="4368" width="11.5703125" bestFit="1" customWidth="1"/>
    <col min="4608" max="4608" width="24.7109375" customWidth="1"/>
    <col min="4609" max="4609" width="17.85546875" customWidth="1"/>
    <col min="4610" max="4610" width="20.7109375" customWidth="1"/>
    <col min="4611" max="4611" width="16.5703125" customWidth="1"/>
    <col min="4612" max="4612" width="7.140625" customWidth="1"/>
    <col min="4613" max="4613" width="15.140625" customWidth="1"/>
    <col min="4614" max="4614" width="6.28515625" customWidth="1"/>
    <col min="4615" max="4615" width="19.7109375" customWidth="1"/>
    <col min="4616" max="4616" width="22.42578125" customWidth="1"/>
    <col min="4617" max="4617" width="31.5703125" customWidth="1"/>
    <col min="4618" max="4618" width="10.85546875" customWidth="1"/>
    <col min="4619" max="4619" width="16" customWidth="1"/>
    <col min="4622" max="4622" width="7.5703125" customWidth="1"/>
    <col min="4623" max="4623" width="0.5703125" customWidth="1"/>
    <col min="4624" max="4624" width="11.5703125" bestFit="1" customWidth="1"/>
    <col min="4864" max="4864" width="24.7109375" customWidth="1"/>
    <col min="4865" max="4865" width="17.85546875" customWidth="1"/>
    <col min="4866" max="4866" width="20.7109375" customWidth="1"/>
    <col min="4867" max="4867" width="16.5703125" customWidth="1"/>
    <col min="4868" max="4868" width="7.140625" customWidth="1"/>
    <col min="4869" max="4869" width="15.140625" customWidth="1"/>
    <col min="4870" max="4870" width="6.28515625" customWidth="1"/>
    <col min="4871" max="4871" width="19.7109375" customWidth="1"/>
    <col min="4872" max="4872" width="22.42578125" customWidth="1"/>
    <col min="4873" max="4873" width="31.5703125" customWidth="1"/>
    <col min="4874" max="4874" width="10.85546875" customWidth="1"/>
    <col min="4875" max="4875" width="16" customWidth="1"/>
    <col min="4878" max="4878" width="7.5703125" customWidth="1"/>
    <col min="4879" max="4879" width="0.5703125" customWidth="1"/>
    <col min="4880" max="4880" width="11.5703125" bestFit="1" customWidth="1"/>
    <col min="5120" max="5120" width="24.7109375" customWidth="1"/>
    <col min="5121" max="5121" width="17.85546875" customWidth="1"/>
    <col min="5122" max="5122" width="20.7109375" customWidth="1"/>
    <col min="5123" max="5123" width="16.5703125" customWidth="1"/>
    <col min="5124" max="5124" width="7.140625" customWidth="1"/>
    <col min="5125" max="5125" width="15.140625" customWidth="1"/>
    <col min="5126" max="5126" width="6.28515625" customWidth="1"/>
    <col min="5127" max="5127" width="19.7109375" customWidth="1"/>
    <col min="5128" max="5128" width="22.42578125" customWidth="1"/>
    <col min="5129" max="5129" width="31.5703125" customWidth="1"/>
    <col min="5130" max="5130" width="10.85546875" customWidth="1"/>
    <col min="5131" max="5131" width="16" customWidth="1"/>
    <col min="5134" max="5134" width="7.5703125" customWidth="1"/>
    <col min="5135" max="5135" width="0.5703125" customWidth="1"/>
    <col min="5136" max="5136" width="11.5703125" bestFit="1" customWidth="1"/>
    <col min="5376" max="5376" width="24.7109375" customWidth="1"/>
    <col min="5377" max="5377" width="17.85546875" customWidth="1"/>
    <col min="5378" max="5378" width="20.7109375" customWidth="1"/>
    <col min="5379" max="5379" width="16.5703125" customWidth="1"/>
    <col min="5380" max="5380" width="7.140625" customWidth="1"/>
    <col min="5381" max="5381" width="15.140625" customWidth="1"/>
    <col min="5382" max="5382" width="6.28515625" customWidth="1"/>
    <col min="5383" max="5383" width="19.7109375" customWidth="1"/>
    <col min="5384" max="5384" width="22.42578125" customWidth="1"/>
    <col min="5385" max="5385" width="31.5703125" customWidth="1"/>
    <col min="5386" max="5386" width="10.85546875" customWidth="1"/>
    <col min="5387" max="5387" width="16" customWidth="1"/>
    <col min="5390" max="5390" width="7.5703125" customWidth="1"/>
    <col min="5391" max="5391" width="0.5703125" customWidth="1"/>
    <col min="5392" max="5392" width="11.5703125" bestFit="1" customWidth="1"/>
    <col min="5632" max="5632" width="24.7109375" customWidth="1"/>
    <col min="5633" max="5633" width="17.85546875" customWidth="1"/>
    <col min="5634" max="5634" width="20.7109375" customWidth="1"/>
    <col min="5635" max="5635" width="16.5703125" customWidth="1"/>
    <col min="5636" max="5636" width="7.140625" customWidth="1"/>
    <col min="5637" max="5637" width="15.140625" customWidth="1"/>
    <col min="5638" max="5638" width="6.28515625" customWidth="1"/>
    <col min="5639" max="5639" width="19.7109375" customWidth="1"/>
    <col min="5640" max="5640" width="22.42578125" customWidth="1"/>
    <col min="5641" max="5641" width="31.5703125" customWidth="1"/>
    <col min="5642" max="5642" width="10.85546875" customWidth="1"/>
    <col min="5643" max="5643" width="16" customWidth="1"/>
    <col min="5646" max="5646" width="7.5703125" customWidth="1"/>
    <col min="5647" max="5647" width="0.5703125" customWidth="1"/>
    <col min="5648" max="5648" width="11.5703125" bestFit="1" customWidth="1"/>
    <col min="5888" max="5888" width="24.7109375" customWidth="1"/>
    <col min="5889" max="5889" width="17.85546875" customWidth="1"/>
    <col min="5890" max="5890" width="20.7109375" customWidth="1"/>
    <col min="5891" max="5891" width="16.5703125" customWidth="1"/>
    <col min="5892" max="5892" width="7.140625" customWidth="1"/>
    <col min="5893" max="5893" width="15.140625" customWidth="1"/>
    <col min="5894" max="5894" width="6.28515625" customWidth="1"/>
    <col min="5895" max="5895" width="19.7109375" customWidth="1"/>
    <col min="5896" max="5896" width="22.42578125" customWidth="1"/>
    <col min="5897" max="5897" width="31.5703125" customWidth="1"/>
    <col min="5898" max="5898" width="10.85546875" customWidth="1"/>
    <col min="5899" max="5899" width="16" customWidth="1"/>
    <col min="5902" max="5902" width="7.5703125" customWidth="1"/>
    <col min="5903" max="5903" width="0.5703125" customWidth="1"/>
    <col min="5904" max="5904" width="11.5703125" bestFit="1" customWidth="1"/>
    <col min="6144" max="6144" width="24.7109375" customWidth="1"/>
    <col min="6145" max="6145" width="17.85546875" customWidth="1"/>
    <col min="6146" max="6146" width="20.7109375" customWidth="1"/>
    <col min="6147" max="6147" width="16.5703125" customWidth="1"/>
    <col min="6148" max="6148" width="7.140625" customWidth="1"/>
    <col min="6149" max="6149" width="15.140625" customWidth="1"/>
    <col min="6150" max="6150" width="6.28515625" customWidth="1"/>
    <col min="6151" max="6151" width="19.7109375" customWidth="1"/>
    <col min="6152" max="6152" width="22.42578125" customWidth="1"/>
    <col min="6153" max="6153" width="31.5703125" customWidth="1"/>
    <col min="6154" max="6154" width="10.85546875" customWidth="1"/>
    <col min="6155" max="6155" width="16" customWidth="1"/>
    <col min="6158" max="6158" width="7.5703125" customWidth="1"/>
    <col min="6159" max="6159" width="0.5703125" customWidth="1"/>
    <col min="6160" max="6160" width="11.5703125" bestFit="1" customWidth="1"/>
    <col min="6400" max="6400" width="24.7109375" customWidth="1"/>
    <col min="6401" max="6401" width="17.85546875" customWidth="1"/>
    <col min="6402" max="6402" width="20.7109375" customWidth="1"/>
    <col min="6403" max="6403" width="16.5703125" customWidth="1"/>
    <col min="6404" max="6404" width="7.140625" customWidth="1"/>
    <col min="6405" max="6405" width="15.140625" customWidth="1"/>
    <col min="6406" max="6406" width="6.28515625" customWidth="1"/>
    <col min="6407" max="6407" width="19.7109375" customWidth="1"/>
    <col min="6408" max="6408" width="22.42578125" customWidth="1"/>
    <col min="6409" max="6409" width="31.5703125" customWidth="1"/>
    <col min="6410" max="6410" width="10.85546875" customWidth="1"/>
    <col min="6411" max="6411" width="16" customWidth="1"/>
    <col min="6414" max="6414" width="7.5703125" customWidth="1"/>
    <col min="6415" max="6415" width="0.5703125" customWidth="1"/>
    <col min="6416" max="6416" width="11.5703125" bestFit="1" customWidth="1"/>
    <col min="6656" max="6656" width="24.7109375" customWidth="1"/>
    <col min="6657" max="6657" width="17.85546875" customWidth="1"/>
    <col min="6658" max="6658" width="20.7109375" customWidth="1"/>
    <col min="6659" max="6659" width="16.5703125" customWidth="1"/>
    <col min="6660" max="6660" width="7.140625" customWidth="1"/>
    <col min="6661" max="6661" width="15.140625" customWidth="1"/>
    <col min="6662" max="6662" width="6.28515625" customWidth="1"/>
    <col min="6663" max="6663" width="19.7109375" customWidth="1"/>
    <col min="6664" max="6664" width="22.42578125" customWidth="1"/>
    <col min="6665" max="6665" width="31.5703125" customWidth="1"/>
    <col min="6666" max="6666" width="10.85546875" customWidth="1"/>
    <col min="6667" max="6667" width="16" customWidth="1"/>
    <col min="6670" max="6670" width="7.5703125" customWidth="1"/>
    <col min="6671" max="6671" width="0.5703125" customWidth="1"/>
    <col min="6672" max="6672" width="11.5703125" bestFit="1" customWidth="1"/>
    <col min="6912" max="6912" width="24.7109375" customWidth="1"/>
    <col min="6913" max="6913" width="17.85546875" customWidth="1"/>
    <col min="6914" max="6914" width="20.7109375" customWidth="1"/>
    <col min="6915" max="6915" width="16.5703125" customWidth="1"/>
    <col min="6916" max="6916" width="7.140625" customWidth="1"/>
    <col min="6917" max="6917" width="15.140625" customWidth="1"/>
    <col min="6918" max="6918" width="6.28515625" customWidth="1"/>
    <col min="6919" max="6919" width="19.7109375" customWidth="1"/>
    <col min="6920" max="6920" width="22.42578125" customWidth="1"/>
    <col min="6921" max="6921" width="31.5703125" customWidth="1"/>
    <col min="6922" max="6922" width="10.85546875" customWidth="1"/>
    <col min="6923" max="6923" width="16" customWidth="1"/>
    <col min="6926" max="6926" width="7.5703125" customWidth="1"/>
    <col min="6927" max="6927" width="0.5703125" customWidth="1"/>
    <col min="6928" max="6928" width="11.5703125" bestFit="1" customWidth="1"/>
    <col min="7168" max="7168" width="24.7109375" customWidth="1"/>
    <col min="7169" max="7169" width="17.85546875" customWidth="1"/>
    <col min="7170" max="7170" width="20.7109375" customWidth="1"/>
    <col min="7171" max="7171" width="16.5703125" customWidth="1"/>
    <col min="7172" max="7172" width="7.140625" customWidth="1"/>
    <col min="7173" max="7173" width="15.140625" customWidth="1"/>
    <col min="7174" max="7174" width="6.28515625" customWidth="1"/>
    <col min="7175" max="7175" width="19.7109375" customWidth="1"/>
    <col min="7176" max="7176" width="22.42578125" customWidth="1"/>
    <col min="7177" max="7177" width="31.5703125" customWidth="1"/>
    <col min="7178" max="7178" width="10.85546875" customWidth="1"/>
    <col min="7179" max="7179" width="16" customWidth="1"/>
    <col min="7182" max="7182" width="7.5703125" customWidth="1"/>
    <col min="7183" max="7183" width="0.5703125" customWidth="1"/>
    <col min="7184" max="7184" width="11.5703125" bestFit="1" customWidth="1"/>
    <col min="7424" max="7424" width="24.7109375" customWidth="1"/>
    <col min="7425" max="7425" width="17.85546875" customWidth="1"/>
    <col min="7426" max="7426" width="20.7109375" customWidth="1"/>
    <col min="7427" max="7427" width="16.5703125" customWidth="1"/>
    <col min="7428" max="7428" width="7.140625" customWidth="1"/>
    <col min="7429" max="7429" width="15.140625" customWidth="1"/>
    <col min="7430" max="7430" width="6.28515625" customWidth="1"/>
    <col min="7431" max="7431" width="19.7109375" customWidth="1"/>
    <col min="7432" max="7432" width="22.42578125" customWidth="1"/>
    <col min="7433" max="7433" width="31.5703125" customWidth="1"/>
    <col min="7434" max="7434" width="10.85546875" customWidth="1"/>
    <col min="7435" max="7435" width="16" customWidth="1"/>
    <col min="7438" max="7438" width="7.5703125" customWidth="1"/>
    <col min="7439" max="7439" width="0.5703125" customWidth="1"/>
    <col min="7440" max="7440" width="11.5703125" bestFit="1" customWidth="1"/>
    <col min="7680" max="7680" width="24.7109375" customWidth="1"/>
    <col min="7681" max="7681" width="17.85546875" customWidth="1"/>
    <col min="7682" max="7682" width="20.7109375" customWidth="1"/>
    <col min="7683" max="7683" width="16.5703125" customWidth="1"/>
    <col min="7684" max="7684" width="7.140625" customWidth="1"/>
    <col min="7685" max="7685" width="15.140625" customWidth="1"/>
    <col min="7686" max="7686" width="6.28515625" customWidth="1"/>
    <col min="7687" max="7687" width="19.7109375" customWidth="1"/>
    <col min="7688" max="7688" width="22.42578125" customWidth="1"/>
    <col min="7689" max="7689" width="31.5703125" customWidth="1"/>
    <col min="7690" max="7690" width="10.85546875" customWidth="1"/>
    <col min="7691" max="7691" width="16" customWidth="1"/>
    <col min="7694" max="7694" width="7.5703125" customWidth="1"/>
    <col min="7695" max="7695" width="0.5703125" customWidth="1"/>
    <col min="7696" max="7696" width="11.5703125" bestFit="1" customWidth="1"/>
    <col min="7936" max="7936" width="24.7109375" customWidth="1"/>
    <col min="7937" max="7937" width="17.85546875" customWidth="1"/>
    <col min="7938" max="7938" width="20.7109375" customWidth="1"/>
    <col min="7939" max="7939" width="16.5703125" customWidth="1"/>
    <col min="7940" max="7940" width="7.140625" customWidth="1"/>
    <col min="7941" max="7941" width="15.140625" customWidth="1"/>
    <col min="7942" max="7942" width="6.28515625" customWidth="1"/>
    <col min="7943" max="7943" width="19.7109375" customWidth="1"/>
    <col min="7944" max="7944" width="22.42578125" customWidth="1"/>
    <col min="7945" max="7945" width="31.5703125" customWidth="1"/>
    <col min="7946" max="7946" width="10.85546875" customWidth="1"/>
    <col min="7947" max="7947" width="16" customWidth="1"/>
    <col min="7950" max="7950" width="7.5703125" customWidth="1"/>
    <col min="7951" max="7951" width="0.5703125" customWidth="1"/>
    <col min="7952" max="7952" width="11.5703125" bestFit="1" customWidth="1"/>
    <col min="8192" max="8192" width="24.7109375" customWidth="1"/>
    <col min="8193" max="8193" width="17.85546875" customWidth="1"/>
    <col min="8194" max="8194" width="20.7109375" customWidth="1"/>
    <col min="8195" max="8195" width="16.5703125" customWidth="1"/>
    <col min="8196" max="8196" width="7.140625" customWidth="1"/>
    <col min="8197" max="8197" width="15.140625" customWidth="1"/>
    <col min="8198" max="8198" width="6.28515625" customWidth="1"/>
    <col min="8199" max="8199" width="19.7109375" customWidth="1"/>
    <col min="8200" max="8200" width="22.42578125" customWidth="1"/>
    <col min="8201" max="8201" width="31.5703125" customWidth="1"/>
    <col min="8202" max="8202" width="10.85546875" customWidth="1"/>
    <col min="8203" max="8203" width="16" customWidth="1"/>
    <col min="8206" max="8206" width="7.5703125" customWidth="1"/>
    <col min="8207" max="8207" width="0.5703125" customWidth="1"/>
    <col min="8208" max="8208" width="11.5703125" bestFit="1" customWidth="1"/>
    <col min="8448" max="8448" width="24.7109375" customWidth="1"/>
    <col min="8449" max="8449" width="17.85546875" customWidth="1"/>
    <col min="8450" max="8450" width="20.7109375" customWidth="1"/>
    <col min="8451" max="8451" width="16.5703125" customWidth="1"/>
    <col min="8452" max="8452" width="7.140625" customWidth="1"/>
    <col min="8453" max="8453" width="15.140625" customWidth="1"/>
    <col min="8454" max="8454" width="6.28515625" customWidth="1"/>
    <col min="8455" max="8455" width="19.7109375" customWidth="1"/>
    <col min="8456" max="8456" width="22.42578125" customWidth="1"/>
    <col min="8457" max="8457" width="31.5703125" customWidth="1"/>
    <col min="8458" max="8458" width="10.85546875" customWidth="1"/>
    <col min="8459" max="8459" width="16" customWidth="1"/>
    <col min="8462" max="8462" width="7.5703125" customWidth="1"/>
    <col min="8463" max="8463" width="0.5703125" customWidth="1"/>
    <col min="8464" max="8464" width="11.5703125" bestFit="1" customWidth="1"/>
    <col min="8704" max="8704" width="24.7109375" customWidth="1"/>
    <col min="8705" max="8705" width="17.85546875" customWidth="1"/>
    <col min="8706" max="8706" width="20.7109375" customWidth="1"/>
    <col min="8707" max="8707" width="16.5703125" customWidth="1"/>
    <col min="8708" max="8708" width="7.140625" customWidth="1"/>
    <col min="8709" max="8709" width="15.140625" customWidth="1"/>
    <col min="8710" max="8710" width="6.28515625" customWidth="1"/>
    <col min="8711" max="8711" width="19.7109375" customWidth="1"/>
    <col min="8712" max="8712" width="22.42578125" customWidth="1"/>
    <col min="8713" max="8713" width="31.5703125" customWidth="1"/>
    <col min="8714" max="8714" width="10.85546875" customWidth="1"/>
    <col min="8715" max="8715" width="16" customWidth="1"/>
    <col min="8718" max="8718" width="7.5703125" customWidth="1"/>
    <col min="8719" max="8719" width="0.5703125" customWidth="1"/>
    <col min="8720" max="8720" width="11.5703125" bestFit="1" customWidth="1"/>
    <col min="8960" max="8960" width="24.7109375" customWidth="1"/>
    <col min="8961" max="8961" width="17.85546875" customWidth="1"/>
    <col min="8962" max="8962" width="20.7109375" customWidth="1"/>
    <col min="8963" max="8963" width="16.5703125" customWidth="1"/>
    <col min="8964" max="8964" width="7.140625" customWidth="1"/>
    <col min="8965" max="8965" width="15.140625" customWidth="1"/>
    <col min="8966" max="8966" width="6.28515625" customWidth="1"/>
    <col min="8967" max="8967" width="19.7109375" customWidth="1"/>
    <col min="8968" max="8968" width="22.42578125" customWidth="1"/>
    <col min="8969" max="8969" width="31.5703125" customWidth="1"/>
    <col min="8970" max="8970" width="10.85546875" customWidth="1"/>
    <col min="8971" max="8971" width="16" customWidth="1"/>
    <col min="8974" max="8974" width="7.5703125" customWidth="1"/>
    <col min="8975" max="8975" width="0.5703125" customWidth="1"/>
    <col min="8976" max="8976" width="11.5703125" bestFit="1" customWidth="1"/>
    <col min="9216" max="9216" width="24.7109375" customWidth="1"/>
    <col min="9217" max="9217" width="17.85546875" customWidth="1"/>
    <col min="9218" max="9218" width="20.7109375" customWidth="1"/>
    <col min="9219" max="9219" width="16.5703125" customWidth="1"/>
    <col min="9220" max="9220" width="7.140625" customWidth="1"/>
    <col min="9221" max="9221" width="15.140625" customWidth="1"/>
    <col min="9222" max="9222" width="6.28515625" customWidth="1"/>
    <col min="9223" max="9223" width="19.7109375" customWidth="1"/>
    <col min="9224" max="9224" width="22.42578125" customWidth="1"/>
    <col min="9225" max="9225" width="31.5703125" customWidth="1"/>
    <col min="9226" max="9226" width="10.85546875" customWidth="1"/>
    <col min="9227" max="9227" width="16" customWidth="1"/>
    <col min="9230" max="9230" width="7.5703125" customWidth="1"/>
    <col min="9231" max="9231" width="0.5703125" customWidth="1"/>
    <col min="9232" max="9232" width="11.5703125" bestFit="1" customWidth="1"/>
    <col min="9472" max="9472" width="24.7109375" customWidth="1"/>
    <col min="9473" max="9473" width="17.85546875" customWidth="1"/>
    <col min="9474" max="9474" width="20.7109375" customWidth="1"/>
    <col min="9475" max="9475" width="16.5703125" customWidth="1"/>
    <col min="9476" max="9476" width="7.140625" customWidth="1"/>
    <col min="9477" max="9477" width="15.140625" customWidth="1"/>
    <col min="9478" max="9478" width="6.28515625" customWidth="1"/>
    <col min="9479" max="9479" width="19.7109375" customWidth="1"/>
    <col min="9480" max="9480" width="22.42578125" customWidth="1"/>
    <col min="9481" max="9481" width="31.5703125" customWidth="1"/>
    <col min="9482" max="9482" width="10.85546875" customWidth="1"/>
    <col min="9483" max="9483" width="16" customWidth="1"/>
    <col min="9486" max="9486" width="7.5703125" customWidth="1"/>
    <col min="9487" max="9487" width="0.5703125" customWidth="1"/>
    <col min="9488" max="9488" width="11.5703125" bestFit="1" customWidth="1"/>
    <col min="9728" max="9728" width="24.7109375" customWidth="1"/>
    <col min="9729" max="9729" width="17.85546875" customWidth="1"/>
    <col min="9730" max="9730" width="20.7109375" customWidth="1"/>
    <col min="9731" max="9731" width="16.5703125" customWidth="1"/>
    <col min="9732" max="9732" width="7.140625" customWidth="1"/>
    <col min="9733" max="9733" width="15.140625" customWidth="1"/>
    <col min="9734" max="9734" width="6.28515625" customWidth="1"/>
    <col min="9735" max="9735" width="19.7109375" customWidth="1"/>
    <col min="9736" max="9736" width="22.42578125" customWidth="1"/>
    <col min="9737" max="9737" width="31.5703125" customWidth="1"/>
    <col min="9738" max="9738" width="10.85546875" customWidth="1"/>
    <col min="9739" max="9739" width="16" customWidth="1"/>
    <col min="9742" max="9742" width="7.5703125" customWidth="1"/>
    <col min="9743" max="9743" width="0.5703125" customWidth="1"/>
    <col min="9744" max="9744" width="11.5703125" bestFit="1" customWidth="1"/>
    <col min="9984" max="9984" width="24.7109375" customWidth="1"/>
    <col min="9985" max="9985" width="17.85546875" customWidth="1"/>
    <col min="9986" max="9986" width="20.7109375" customWidth="1"/>
    <col min="9987" max="9987" width="16.5703125" customWidth="1"/>
    <col min="9988" max="9988" width="7.140625" customWidth="1"/>
    <col min="9989" max="9989" width="15.140625" customWidth="1"/>
    <col min="9990" max="9990" width="6.28515625" customWidth="1"/>
    <col min="9991" max="9991" width="19.7109375" customWidth="1"/>
    <col min="9992" max="9992" width="22.42578125" customWidth="1"/>
    <col min="9993" max="9993" width="31.5703125" customWidth="1"/>
    <col min="9994" max="9994" width="10.85546875" customWidth="1"/>
    <col min="9995" max="9995" width="16" customWidth="1"/>
    <col min="9998" max="9998" width="7.5703125" customWidth="1"/>
    <col min="9999" max="9999" width="0.5703125" customWidth="1"/>
    <col min="10000" max="10000" width="11.5703125" bestFit="1" customWidth="1"/>
    <col min="10240" max="10240" width="24.7109375" customWidth="1"/>
    <col min="10241" max="10241" width="17.85546875" customWidth="1"/>
    <col min="10242" max="10242" width="20.7109375" customWidth="1"/>
    <col min="10243" max="10243" width="16.5703125" customWidth="1"/>
    <col min="10244" max="10244" width="7.140625" customWidth="1"/>
    <col min="10245" max="10245" width="15.140625" customWidth="1"/>
    <col min="10246" max="10246" width="6.28515625" customWidth="1"/>
    <col min="10247" max="10247" width="19.7109375" customWidth="1"/>
    <col min="10248" max="10248" width="22.42578125" customWidth="1"/>
    <col min="10249" max="10249" width="31.5703125" customWidth="1"/>
    <col min="10250" max="10250" width="10.85546875" customWidth="1"/>
    <col min="10251" max="10251" width="16" customWidth="1"/>
    <col min="10254" max="10254" width="7.5703125" customWidth="1"/>
    <col min="10255" max="10255" width="0.5703125" customWidth="1"/>
    <col min="10256" max="10256" width="11.5703125" bestFit="1" customWidth="1"/>
    <col min="10496" max="10496" width="24.7109375" customWidth="1"/>
    <col min="10497" max="10497" width="17.85546875" customWidth="1"/>
    <col min="10498" max="10498" width="20.7109375" customWidth="1"/>
    <col min="10499" max="10499" width="16.5703125" customWidth="1"/>
    <col min="10500" max="10500" width="7.140625" customWidth="1"/>
    <col min="10501" max="10501" width="15.140625" customWidth="1"/>
    <col min="10502" max="10502" width="6.28515625" customWidth="1"/>
    <col min="10503" max="10503" width="19.7109375" customWidth="1"/>
    <col min="10504" max="10504" width="22.42578125" customWidth="1"/>
    <col min="10505" max="10505" width="31.5703125" customWidth="1"/>
    <col min="10506" max="10506" width="10.85546875" customWidth="1"/>
    <col min="10507" max="10507" width="16" customWidth="1"/>
    <col min="10510" max="10510" width="7.5703125" customWidth="1"/>
    <col min="10511" max="10511" width="0.5703125" customWidth="1"/>
    <col min="10512" max="10512" width="11.5703125" bestFit="1" customWidth="1"/>
    <col min="10752" max="10752" width="24.7109375" customWidth="1"/>
    <col min="10753" max="10753" width="17.85546875" customWidth="1"/>
    <col min="10754" max="10754" width="20.7109375" customWidth="1"/>
    <col min="10755" max="10755" width="16.5703125" customWidth="1"/>
    <col min="10756" max="10756" width="7.140625" customWidth="1"/>
    <col min="10757" max="10757" width="15.140625" customWidth="1"/>
    <col min="10758" max="10758" width="6.28515625" customWidth="1"/>
    <col min="10759" max="10759" width="19.7109375" customWidth="1"/>
    <col min="10760" max="10760" width="22.42578125" customWidth="1"/>
    <col min="10761" max="10761" width="31.5703125" customWidth="1"/>
    <col min="10762" max="10762" width="10.85546875" customWidth="1"/>
    <col min="10763" max="10763" width="16" customWidth="1"/>
    <col min="10766" max="10766" width="7.5703125" customWidth="1"/>
    <col min="10767" max="10767" width="0.5703125" customWidth="1"/>
    <col min="10768" max="10768" width="11.5703125" bestFit="1" customWidth="1"/>
    <col min="11008" max="11008" width="24.7109375" customWidth="1"/>
    <col min="11009" max="11009" width="17.85546875" customWidth="1"/>
    <col min="11010" max="11010" width="20.7109375" customWidth="1"/>
    <col min="11011" max="11011" width="16.5703125" customWidth="1"/>
    <col min="11012" max="11012" width="7.140625" customWidth="1"/>
    <col min="11013" max="11013" width="15.140625" customWidth="1"/>
    <col min="11014" max="11014" width="6.28515625" customWidth="1"/>
    <col min="11015" max="11015" width="19.7109375" customWidth="1"/>
    <col min="11016" max="11016" width="22.42578125" customWidth="1"/>
    <col min="11017" max="11017" width="31.5703125" customWidth="1"/>
    <col min="11018" max="11018" width="10.85546875" customWidth="1"/>
    <col min="11019" max="11019" width="16" customWidth="1"/>
    <col min="11022" max="11022" width="7.5703125" customWidth="1"/>
    <col min="11023" max="11023" width="0.5703125" customWidth="1"/>
    <col min="11024" max="11024" width="11.5703125" bestFit="1" customWidth="1"/>
    <col min="11264" max="11264" width="24.7109375" customWidth="1"/>
    <col min="11265" max="11265" width="17.85546875" customWidth="1"/>
    <col min="11266" max="11266" width="20.7109375" customWidth="1"/>
    <col min="11267" max="11267" width="16.5703125" customWidth="1"/>
    <col min="11268" max="11268" width="7.140625" customWidth="1"/>
    <col min="11269" max="11269" width="15.140625" customWidth="1"/>
    <col min="11270" max="11270" width="6.28515625" customWidth="1"/>
    <col min="11271" max="11271" width="19.7109375" customWidth="1"/>
    <col min="11272" max="11272" width="22.42578125" customWidth="1"/>
    <col min="11273" max="11273" width="31.5703125" customWidth="1"/>
    <col min="11274" max="11274" width="10.85546875" customWidth="1"/>
    <col min="11275" max="11275" width="16" customWidth="1"/>
    <col min="11278" max="11278" width="7.5703125" customWidth="1"/>
    <col min="11279" max="11279" width="0.5703125" customWidth="1"/>
    <col min="11280" max="11280" width="11.5703125" bestFit="1" customWidth="1"/>
    <col min="11520" max="11520" width="24.7109375" customWidth="1"/>
    <col min="11521" max="11521" width="17.85546875" customWidth="1"/>
    <col min="11522" max="11522" width="20.7109375" customWidth="1"/>
    <col min="11523" max="11523" width="16.5703125" customWidth="1"/>
    <col min="11524" max="11524" width="7.140625" customWidth="1"/>
    <col min="11525" max="11525" width="15.140625" customWidth="1"/>
    <col min="11526" max="11526" width="6.28515625" customWidth="1"/>
    <col min="11527" max="11527" width="19.7109375" customWidth="1"/>
    <col min="11528" max="11528" width="22.42578125" customWidth="1"/>
    <col min="11529" max="11529" width="31.5703125" customWidth="1"/>
    <col min="11530" max="11530" width="10.85546875" customWidth="1"/>
    <col min="11531" max="11531" width="16" customWidth="1"/>
    <col min="11534" max="11534" width="7.5703125" customWidth="1"/>
    <col min="11535" max="11535" width="0.5703125" customWidth="1"/>
    <col min="11536" max="11536" width="11.5703125" bestFit="1" customWidth="1"/>
    <col min="11776" max="11776" width="24.7109375" customWidth="1"/>
    <col min="11777" max="11777" width="17.85546875" customWidth="1"/>
    <col min="11778" max="11778" width="20.7109375" customWidth="1"/>
    <col min="11779" max="11779" width="16.5703125" customWidth="1"/>
    <col min="11780" max="11780" width="7.140625" customWidth="1"/>
    <col min="11781" max="11781" width="15.140625" customWidth="1"/>
    <col min="11782" max="11782" width="6.28515625" customWidth="1"/>
    <col min="11783" max="11783" width="19.7109375" customWidth="1"/>
    <col min="11784" max="11784" width="22.42578125" customWidth="1"/>
    <col min="11785" max="11785" width="31.5703125" customWidth="1"/>
    <col min="11786" max="11786" width="10.85546875" customWidth="1"/>
    <col min="11787" max="11787" width="16" customWidth="1"/>
    <col min="11790" max="11790" width="7.5703125" customWidth="1"/>
    <col min="11791" max="11791" width="0.5703125" customWidth="1"/>
    <col min="11792" max="11792" width="11.5703125" bestFit="1" customWidth="1"/>
    <col min="12032" max="12032" width="24.7109375" customWidth="1"/>
    <col min="12033" max="12033" width="17.85546875" customWidth="1"/>
    <col min="12034" max="12034" width="20.7109375" customWidth="1"/>
    <col min="12035" max="12035" width="16.5703125" customWidth="1"/>
    <col min="12036" max="12036" width="7.140625" customWidth="1"/>
    <col min="12037" max="12037" width="15.140625" customWidth="1"/>
    <col min="12038" max="12038" width="6.28515625" customWidth="1"/>
    <col min="12039" max="12039" width="19.7109375" customWidth="1"/>
    <col min="12040" max="12040" width="22.42578125" customWidth="1"/>
    <col min="12041" max="12041" width="31.5703125" customWidth="1"/>
    <col min="12042" max="12042" width="10.85546875" customWidth="1"/>
    <col min="12043" max="12043" width="16" customWidth="1"/>
    <col min="12046" max="12046" width="7.5703125" customWidth="1"/>
    <col min="12047" max="12047" width="0.5703125" customWidth="1"/>
    <col min="12048" max="12048" width="11.5703125" bestFit="1" customWidth="1"/>
    <col min="12288" max="12288" width="24.7109375" customWidth="1"/>
    <col min="12289" max="12289" width="17.85546875" customWidth="1"/>
    <col min="12290" max="12290" width="20.7109375" customWidth="1"/>
    <col min="12291" max="12291" width="16.5703125" customWidth="1"/>
    <col min="12292" max="12292" width="7.140625" customWidth="1"/>
    <col min="12293" max="12293" width="15.140625" customWidth="1"/>
    <col min="12294" max="12294" width="6.28515625" customWidth="1"/>
    <col min="12295" max="12295" width="19.7109375" customWidth="1"/>
    <col min="12296" max="12296" width="22.42578125" customWidth="1"/>
    <col min="12297" max="12297" width="31.5703125" customWidth="1"/>
    <col min="12298" max="12298" width="10.85546875" customWidth="1"/>
    <col min="12299" max="12299" width="16" customWidth="1"/>
    <col min="12302" max="12302" width="7.5703125" customWidth="1"/>
    <col min="12303" max="12303" width="0.5703125" customWidth="1"/>
    <col min="12304" max="12304" width="11.5703125" bestFit="1" customWidth="1"/>
    <col min="12544" max="12544" width="24.7109375" customWidth="1"/>
    <col min="12545" max="12545" width="17.85546875" customWidth="1"/>
    <col min="12546" max="12546" width="20.7109375" customWidth="1"/>
    <col min="12547" max="12547" width="16.5703125" customWidth="1"/>
    <col min="12548" max="12548" width="7.140625" customWidth="1"/>
    <col min="12549" max="12549" width="15.140625" customWidth="1"/>
    <col min="12550" max="12550" width="6.28515625" customWidth="1"/>
    <col min="12551" max="12551" width="19.7109375" customWidth="1"/>
    <col min="12552" max="12552" width="22.42578125" customWidth="1"/>
    <col min="12553" max="12553" width="31.5703125" customWidth="1"/>
    <col min="12554" max="12554" width="10.85546875" customWidth="1"/>
    <col min="12555" max="12555" width="16" customWidth="1"/>
    <col min="12558" max="12558" width="7.5703125" customWidth="1"/>
    <col min="12559" max="12559" width="0.5703125" customWidth="1"/>
    <col min="12560" max="12560" width="11.5703125" bestFit="1" customWidth="1"/>
    <col min="12800" max="12800" width="24.7109375" customWidth="1"/>
    <col min="12801" max="12801" width="17.85546875" customWidth="1"/>
    <col min="12802" max="12802" width="20.7109375" customWidth="1"/>
    <col min="12803" max="12803" width="16.5703125" customWidth="1"/>
    <col min="12804" max="12804" width="7.140625" customWidth="1"/>
    <col min="12805" max="12805" width="15.140625" customWidth="1"/>
    <col min="12806" max="12806" width="6.28515625" customWidth="1"/>
    <col min="12807" max="12807" width="19.7109375" customWidth="1"/>
    <col min="12808" max="12808" width="22.42578125" customWidth="1"/>
    <col min="12809" max="12809" width="31.5703125" customWidth="1"/>
    <col min="12810" max="12810" width="10.85546875" customWidth="1"/>
    <col min="12811" max="12811" width="16" customWidth="1"/>
    <col min="12814" max="12814" width="7.5703125" customWidth="1"/>
    <col min="12815" max="12815" width="0.5703125" customWidth="1"/>
    <col min="12816" max="12816" width="11.5703125" bestFit="1" customWidth="1"/>
    <col min="13056" max="13056" width="24.7109375" customWidth="1"/>
    <col min="13057" max="13057" width="17.85546875" customWidth="1"/>
    <col min="13058" max="13058" width="20.7109375" customWidth="1"/>
    <col min="13059" max="13059" width="16.5703125" customWidth="1"/>
    <col min="13060" max="13060" width="7.140625" customWidth="1"/>
    <col min="13061" max="13061" width="15.140625" customWidth="1"/>
    <col min="13062" max="13062" width="6.28515625" customWidth="1"/>
    <col min="13063" max="13063" width="19.7109375" customWidth="1"/>
    <col min="13064" max="13064" width="22.42578125" customWidth="1"/>
    <col min="13065" max="13065" width="31.5703125" customWidth="1"/>
    <col min="13066" max="13066" width="10.85546875" customWidth="1"/>
    <col min="13067" max="13067" width="16" customWidth="1"/>
    <col min="13070" max="13070" width="7.5703125" customWidth="1"/>
    <col min="13071" max="13071" width="0.5703125" customWidth="1"/>
    <col min="13072" max="13072" width="11.5703125" bestFit="1" customWidth="1"/>
    <col min="13312" max="13312" width="24.7109375" customWidth="1"/>
    <col min="13313" max="13313" width="17.85546875" customWidth="1"/>
    <col min="13314" max="13314" width="20.7109375" customWidth="1"/>
    <col min="13315" max="13315" width="16.5703125" customWidth="1"/>
    <col min="13316" max="13316" width="7.140625" customWidth="1"/>
    <col min="13317" max="13317" width="15.140625" customWidth="1"/>
    <col min="13318" max="13318" width="6.28515625" customWidth="1"/>
    <col min="13319" max="13319" width="19.7109375" customWidth="1"/>
    <col min="13320" max="13320" width="22.42578125" customWidth="1"/>
    <col min="13321" max="13321" width="31.5703125" customWidth="1"/>
    <col min="13322" max="13322" width="10.85546875" customWidth="1"/>
    <col min="13323" max="13323" width="16" customWidth="1"/>
    <col min="13326" max="13326" width="7.5703125" customWidth="1"/>
    <col min="13327" max="13327" width="0.5703125" customWidth="1"/>
    <col min="13328" max="13328" width="11.5703125" bestFit="1" customWidth="1"/>
    <col min="13568" max="13568" width="24.7109375" customWidth="1"/>
    <col min="13569" max="13569" width="17.85546875" customWidth="1"/>
    <col min="13570" max="13570" width="20.7109375" customWidth="1"/>
    <col min="13571" max="13571" width="16.5703125" customWidth="1"/>
    <col min="13572" max="13572" width="7.140625" customWidth="1"/>
    <col min="13573" max="13573" width="15.140625" customWidth="1"/>
    <col min="13574" max="13574" width="6.28515625" customWidth="1"/>
    <col min="13575" max="13575" width="19.7109375" customWidth="1"/>
    <col min="13576" max="13576" width="22.42578125" customWidth="1"/>
    <col min="13577" max="13577" width="31.5703125" customWidth="1"/>
    <col min="13578" max="13578" width="10.85546875" customWidth="1"/>
    <col min="13579" max="13579" width="16" customWidth="1"/>
    <col min="13582" max="13582" width="7.5703125" customWidth="1"/>
    <col min="13583" max="13583" width="0.5703125" customWidth="1"/>
    <col min="13584" max="13584" width="11.5703125" bestFit="1" customWidth="1"/>
    <col min="13824" max="13824" width="24.7109375" customWidth="1"/>
    <col min="13825" max="13825" width="17.85546875" customWidth="1"/>
    <col min="13826" max="13826" width="20.7109375" customWidth="1"/>
    <col min="13827" max="13827" width="16.5703125" customWidth="1"/>
    <col min="13828" max="13828" width="7.140625" customWidth="1"/>
    <col min="13829" max="13829" width="15.140625" customWidth="1"/>
    <col min="13830" max="13830" width="6.28515625" customWidth="1"/>
    <col min="13831" max="13831" width="19.7109375" customWidth="1"/>
    <col min="13832" max="13832" width="22.42578125" customWidth="1"/>
    <col min="13833" max="13833" width="31.5703125" customWidth="1"/>
    <col min="13834" max="13834" width="10.85546875" customWidth="1"/>
    <col min="13835" max="13835" width="16" customWidth="1"/>
    <col min="13838" max="13838" width="7.5703125" customWidth="1"/>
    <col min="13839" max="13839" width="0.5703125" customWidth="1"/>
    <col min="13840" max="13840" width="11.5703125" bestFit="1" customWidth="1"/>
    <col min="14080" max="14080" width="24.7109375" customWidth="1"/>
    <col min="14081" max="14081" width="17.85546875" customWidth="1"/>
    <col min="14082" max="14082" width="20.7109375" customWidth="1"/>
    <col min="14083" max="14083" width="16.5703125" customWidth="1"/>
    <col min="14084" max="14084" width="7.140625" customWidth="1"/>
    <col min="14085" max="14085" width="15.140625" customWidth="1"/>
    <col min="14086" max="14086" width="6.28515625" customWidth="1"/>
    <col min="14087" max="14087" width="19.7109375" customWidth="1"/>
    <col min="14088" max="14088" width="22.42578125" customWidth="1"/>
    <col min="14089" max="14089" width="31.5703125" customWidth="1"/>
    <col min="14090" max="14090" width="10.85546875" customWidth="1"/>
    <col min="14091" max="14091" width="16" customWidth="1"/>
    <col min="14094" max="14094" width="7.5703125" customWidth="1"/>
    <col min="14095" max="14095" width="0.5703125" customWidth="1"/>
    <col min="14096" max="14096" width="11.5703125" bestFit="1" customWidth="1"/>
    <col min="14336" max="14336" width="24.7109375" customWidth="1"/>
    <col min="14337" max="14337" width="17.85546875" customWidth="1"/>
    <col min="14338" max="14338" width="20.7109375" customWidth="1"/>
    <col min="14339" max="14339" width="16.5703125" customWidth="1"/>
    <col min="14340" max="14340" width="7.140625" customWidth="1"/>
    <col min="14341" max="14341" width="15.140625" customWidth="1"/>
    <col min="14342" max="14342" width="6.28515625" customWidth="1"/>
    <col min="14343" max="14343" width="19.7109375" customWidth="1"/>
    <col min="14344" max="14344" width="22.42578125" customWidth="1"/>
    <col min="14345" max="14345" width="31.5703125" customWidth="1"/>
    <col min="14346" max="14346" width="10.85546875" customWidth="1"/>
    <col min="14347" max="14347" width="16" customWidth="1"/>
    <col min="14350" max="14350" width="7.5703125" customWidth="1"/>
    <col min="14351" max="14351" width="0.5703125" customWidth="1"/>
    <col min="14352" max="14352" width="11.5703125" bestFit="1" customWidth="1"/>
    <col min="14592" max="14592" width="24.7109375" customWidth="1"/>
    <col min="14593" max="14593" width="17.85546875" customWidth="1"/>
    <col min="14594" max="14594" width="20.7109375" customWidth="1"/>
    <col min="14595" max="14595" width="16.5703125" customWidth="1"/>
    <col min="14596" max="14596" width="7.140625" customWidth="1"/>
    <col min="14597" max="14597" width="15.140625" customWidth="1"/>
    <col min="14598" max="14598" width="6.28515625" customWidth="1"/>
    <col min="14599" max="14599" width="19.7109375" customWidth="1"/>
    <col min="14600" max="14600" width="22.42578125" customWidth="1"/>
    <col min="14601" max="14601" width="31.5703125" customWidth="1"/>
    <col min="14602" max="14602" width="10.85546875" customWidth="1"/>
    <col min="14603" max="14603" width="16" customWidth="1"/>
    <col min="14606" max="14606" width="7.5703125" customWidth="1"/>
    <col min="14607" max="14607" width="0.5703125" customWidth="1"/>
    <col min="14608" max="14608" width="11.5703125" bestFit="1" customWidth="1"/>
    <col min="14848" max="14848" width="24.7109375" customWidth="1"/>
    <col min="14849" max="14849" width="17.85546875" customWidth="1"/>
    <col min="14850" max="14850" width="20.7109375" customWidth="1"/>
    <col min="14851" max="14851" width="16.5703125" customWidth="1"/>
    <col min="14852" max="14852" width="7.140625" customWidth="1"/>
    <col min="14853" max="14853" width="15.140625" customWidth="1"/>
    <col min="14854" max="14854" width="6.28515625" customWidth="1"/>
    <col min="14855" max="14855" width="19.7109375" customWidth="1"/>
    <col min="14856" max="14856" width="22.42578125" customWidth="1"/>
    <col min="14857" max="14857" width="31.5703125" customWidth="1"/>
    <col min="14858" max="14858" width="10.85546875" customWidth="1"/>
    <col min="14859" max="14859" width="16" customWidth="1"/>
    <col min="14862" max="14862" width="7.5703125" customWidth="1"/>
    <col min="14863" max="14863" width="0.5703125" customWidth="1"/>
    <col min="14864" max="14864" width="11.5703125" bestFit="1" customWidth="1"/>
    <col min="15104" max="15104" width="24.7109375" customWidth="1"/>
    <col min="15105" max="15105" width="17.85546875" customWidth="1"/>
    <col min="15106" max="15106" width="20.7109375" customWidth="1"/>
    <col min="15107" max="15107" width="16.5703125" customWidth="1"/>
    <col min="15108" max="15108" width="7.140625" customWidth="1"/>
    <col min="15109" max="15109" width="15.140625" customWidth="1"/>
    <col min="15110" max="15110" width="6.28515625" customWidth="1"/>
    <col min="15111" max="15111" width="19.7109375" customWidth="1"/>
    <col min="15112" max="15112" width="22.42578125" customWidth="1"/>
    <col min="15113" max="15113" width="31.5703125" customWidth="1"/>
    <col min="15114" max="15114" width="10.85546875" customWidth="1"/>
    <col min="15115" max="15115" width="16" customWidth="1"/>
    <col min="15118" max="15118" width="7.5703125" customWidth="1"/>
    <col min="15119" max="15119" width="0.5703125" customWidth="1"/>
    <col min="15120" max="15120" width="11.5703125" bestFit="1" customWidth="1"/>
    <col min="15360" max="15360" width="24.7109375" customWidth="1"/>
    <col min="15361" max="15361" width="17.85546875" customWidth="1"/>
    <col min="15362" max="15362" width="20.7109375" customWidth="1"/>
    <col min="15363" max="15363" width="16.5703125" customWidth="1"/>
    <col min="15364" max="15364" width="7.140625" customWidth="1"/>
    <col min="15365" max="15365" width="15.140625" customWidth="1"/>
    <col min="15366" max="15366" width="6.28515625" customWidth="1"/>
    <col min="15367" max="15367" width="19.7109375" customWidth="1"/>
    <col min="15368" max="15368" width="22.42578125" customWidth="1"/>
    <col min="15369" max="15369" width="31.5703125" customWidth="1"/>
    <col min="15370" max="15370" width="10.85546875" customWidth="1"/>
    <col min="15371" max="15371" width="16" customWidth="1"/>
    <col min="15374" max="15374" width="7.5703125" customWidth="1"/>
    <col min="15375" max="15375" width="0.5703125" customWidth="1"/>
    <col min="15376" max="15376" width="11.5703125" bestFit="1" customWidth="1"/>
    <col min="15616" max="15616" width="24.7109375" customWidth="1"/>
    <col min="15617" max="15617" width="17.85546875" customWidth="1"/>
    <col min="15618" max="15618" width="20.7109375" customWidth="1"/>
    <col min="15619" max="15619" width="16.5703125" customWidth="1"/>
    <col min="15620" max="15620" width="7.140625" customWidth="1"/>
    <col min="15621" max="15621" width="15.140625" customWidth="1"/>
    <col min="15622" max="15622" width="6.28515625" customWidth="1"/>
    <col min="15623" max="15623" width="19.7109375" customWidth="1"/>
    <col min="15624" max="15624" width="22.42578125" customWidth="1"/>
    <col min="15625" max="15625" width="31.5703125" customWidth="1"/>
    <col min="15626" max="15626" width="10.85546875" customWidth="1"/>
    <col min="15627" max="15627" width="16" customWidth="1"/>
    <col min="15630" max="15630" width="7.5703125" customWidth="1"/>
    <col min="15631" max="15631" width="0.5703125" customWidth="1"/>
    <col min="15632" max="15632" width="11.5703125" bestFit="1" customWidth="1"/>
    <col min="15872" max="15872" width="24.7109375" customWidth="1"/>
    <col min="15873" max="15873" width="17.85546875" customWidth="1"/>
    <col min="15874" max="15874" width="20.7109375" customWidth="1"/>
    <col min="15875" max="15875" width="16.5703125" customWidth="1"/>
    <col min="15876" max="15876" width="7.140625" customWidth="1"/>
    <col min="15877" max="15877" width="15.140625" customWidth="1"/>
    <col min="15878" max="15878" width="6.28515625" customWidth="1"/>
    <col min="15879" max="15879" width="19.7109375" customWidth="1"/>
    <col min="15880" max="15880" width="22.42578125" customWidth="1"/>
    <col min="15881" max="15881" width="31.5703125" customWidth="1"/>
    <col min="15882" max="15882" width="10.85546875" customWidth="1"/>
    <col min="15883" max="15883" width="16" customWidth="1"/>
    <col min="15886" max="15886" width="7.5703125" customWidth="1"/>
    <col min="15887" max="15887" width="0.5703125" customWidth="1"/>
    <col min="15888" max="15888" width="11.5703125" bestFit="1" customWidth="1"/>
    <col min="16128" max="16128" width="24.7109375" customWidth="1"/>
    <col min="16129" max="16129" width="17.85546875" customWidth="1"/>
    <col min="16130" max="16130" width="20.7109375" customWidth="1"/>
    <col min="16131" max="16131" width="16.5703125" customWidth="1"/>
    <col min="16132" max="16132" width="7.140625" customWidth="1"/>
    <col min="16133" max="16133" width="15.140625" customWidth="1"/>
    <col min="16134" max="16134" width="6.28515625" customWidth="1"/>
    <col min="16135" max="16135" width="19.7109375" customWidth="1"/>
    <col min="16136" max="16136" width="22.42578125" customWidth="1"/>
    <col min="16137" max="16137" width="31.5703125" customWidth="1"/>
    <col min="16138" max="16138" width="10.85546875" customWidth="1"/>
    <col min="16139" max="16139" width="16" customWidth="1"/>
    <col min="16142" max="16142" width="7.5703125" customWidth="1"/>
    <col min="16143" max="16143" width="0.5703125" customWidth="1"/>
    <col min="16144" max="16144" width="11.5703125" bestFit="1" customWidth="1"/>
  </cols>
  <sheetData>
    <row r="2" spans="2:15" ht="22.5" customHeight="1" x14ac:dyDescent="0.35">
      <c r="B2" s="670" t="s">
        <v>114</v>
      </c>
      <c r="C2" s="670"/>
      <c r="D2" s="670"/>
      <c r="E2" s="670"/>
      <c r="F2" s="79"/>
      <c r="G2" s="80"/>
      <c r="H2" s="80"/>
      <c r="J2" s="81"/>
      <c r="L2" s="80"/>
      <c r="M2" s="80"/>
    </row>
    <row r="3" spans="2:15" ht="28.5" customHeight="1" x14ac:dyDescent="0.35">
      <c r="B3" s="372" t="s">
        <v>311</v>
      </c>
      <c r="C3" s="371"/>
      <c r="D3" s="371"/>
      <c r="E3" s="371"/>
      <c r="F3" s="79"/>
      <c r="G3" s="80"/>
      <c r="H3" s="80"/>
      <c r="J3" s="81"/>
      <c r="L3" s="80"/>
      <c r="M3" s="80"/>
    </row>
    <row r="4" spans="2:15" s="134" customFormat="1" ht="129.75" customHeight="1" x14ac:dyDescent="0.25">
      <c r="B4" s="671" t="s">
        <v>335</v>
      </c>
      <c r="C4" s="671"/>
      <c r="D4" s="671"/>
      <c r="E4" s="671"/>
      <c r="F4" s="671"/>
      <c r="G4" s="671"/>
      <c r="H4" s="671"/>
      <c r="I4" s="671"/>
      <c r="J4" s="671"/>
      <c r="K4" s="671"/>
      <c r="L4" s="82"/>
      <c r="M4" s="82"/>
      <c r="N4" s="83"/>
      <c r="O4" s="83"/>
    </row>
    <row r="5" spans="2:15" ht="35.25" customHeight="1" x14ac:dyDescent="0.2">
      <c r="B5" s="672" t="s">
        <v>65</v>
      </c>
      <c r="C5" s="672"/>
      <c r="D5" s="672"/>
      <c r="E5" s="80"/>
      <c r="F5" s="80"/>
      <c r="G5" s="80"/>
      <c r="H5" s="80"/>
      <c r="J5" s="81"/>
      <c r="L5" s="80"/>
      <c r="M5" s="80"/>
    </row>
    <row r="6" spans="2:15" ht="36.75" customHeight="1" x14ac:dyDescent="0.2">
      <c r="B6" s="331" t="s">
        <v>240</v>
      </c>
      <c r="C6" s="331" t="s">
        <v>66</v>
      </c>
      <c r="D6" s="332" t="s">
        <v>67</v>
      </c>
      <c r="E6" s="84"/>
      <c r="F6" s="84"/>
      <c r="G6" s="85"/>
      <c r="H6" s="80"/>
      <c r="J6" s="81"/>
      <c r="L6" s="80"/>
      <c r="M6" s="80"/>
    </row>
    <row r="7" spans="2:15" ht="30" customHeight="1" x14ac:dyDescent="0.2">
      <c r="B7" s="333">
        <v>75</v>
      </c>
      <c r="C7" s="510">
        <v>2.5000000000000001E-2</v>
      </c>
      <c r="D7" s="335">
        <f t="shared" ref="D7:D14" si="0">C7*$C$16</f>
        <v>423523.59984646394</v>
      </c>
      <c r="E7" s="86"/>
      <c r="F7" s="86"/>
      <c r="G7" s="87"/>
      <c r="H7" s="80"/>
      <c r="J7" s="81"/>
      <c r="L7" s="80"/>
      <c r="M7" s="88"/>
    </row>
    <row r="8" spans="2:15" ht="30" customHeight="1" x14ac:dyDescent="0.2">
      <c r="B8" s="333">
        <v>85</v>
      </c>
      <c r="C8" s="510">
        <v>3.5000000000000003E-2</v>
      </c>
      <c r="D8" s="335">
        <f t="shared" si="0"/>
        <v>592933.03978504951</v>
      </c>
      <c r="E8" s="86"/>
      <c r="F8" s="86"/>
      <c r="G8" s="87"/>
      <c r="H8" s="80"/>
      <c r="J8" s="81"/>
      <c r="L8" s="80"/>
      <c r="M8" s="80"/>
    </row>
    <row r="9" spans="2:15" ht="30" customHeight="1" x14ac:dyDescent="0.2">
      <c r="B9" s="333">
        <v>95</v>
      </c>
      <c r="C9" s="510">
        <v>4.4999999999999998E-2</v>
      </c>
      <c r="D9" s="335">
        <f t="shared" si="0"/>
        <v>762342.47972363501</v>
      </c>
      <c r="E9" s="90"/>
      <c r="F9" s="90"/>
      <c r="G9" s="87"/>
      <c r="H9" s="80"/>
      <c r="J9" s="81"/>
      <c r="L9" s="80"/>
      <c r="M9" s="80"/>
    </row>
    <row r="10" spans="2:15" ht="30" customHeight="1" x14ac:dyDescent="0.2">
      <c r="B10" s="336">
        <v>100</v>
      </c>
      <c r="C10" s="511">
        <v>0.05</v>
      </c>
      <c r="D10" s="338">
        <f t="shared" si="0"/>
        <v>847047.19969292788</v>
      </c>
      <c r="E10" s="86"/>
      <c r="F10" s="86"/>
      <c r="G10" s="87"/>
      <c r="H10" s="80"/>
      <c r="J10" s="81"/>
      <c r="L10" s="80"/>
      <c r="M10" s="80"/>
    </row>
    <row r="11" spans="2:15" ht="29.25" customHeight="1" x14ac:dyDescent="0.2">
      <c r="B11" s="333">
        <v>105</v>
      </c>
      <c r="C11" s="510">
        <v>5.2900000000000003E-2</v>
      </c>
      <c r="D11" s="335">
        <f t="shared" si="0"/>
        <v>896175.93727511773</v>
      </c>
      <c r="E11" s="86"/>
      <c r="F11" s="86"/>
      <c r="G11" s="87"/>
      <c r="H11" s="80"/>
      <c r="J11" s="81"/>
      <c r="L11" s="80"/>
      <c r="M11" s="80"/>
    </row>
    <row r="12" spans="2:15" ht="30" customHeight="1" x14ac:dyDescent="0.2">
      <c r="B12" s="333">
        <v>115</v>
      </c>
      <c r="C12" s="510">
        <v>5.8599999999999999E-2</v>
      </c>
      <c r="D12" s="335">
        <f t="shared" si="0"/>
        <v>992739.31804011145</v>
      </c>
      <c r="E12" s="91"/>
      <c r="F12" s="91"/>
      <c r="G12" s="87"/>
      <c r="H12" s="80"/>
      <c r="J12" s="81"/>
      <c r="L12" s="80"/>
      <c r="M12" s="80"/>
    </row>
    <row r="13" spans="2:15" ht="30" customHeight="1" x14ac:dyDescent="0.2">
      <c r="B13" s="333">
        <v>125</v>
      </c>
      <c r="C13" s="510">
        <v>6.4299999999999996E-2</v>
      </c>
      <c r="D13" s="335">
        <f t="shared" si="0"/>
        <v>1089302.6988051052</v>
      </c>
      <c r="E13" s="91"/>
      <c r="F13" s="91"/>
      <c r="G13" s="87"/>
      <c r="H13" s="80"/>
      <c r="J13" s="81"/>
      <c r="L13" s="80"/>
      <c r="M13" s="80"/>
    </row>
    <row r="14" spans="2:15" ht="19.5" customHeight="1" x14ac:dyDescent="0.2">
      <c r="B14" s="333">
        <v>135</v>
      </c>
      <c r="C14" s="510">
        <v>7.0000000000000007E-2</v>
      </c>
      <c r="D14" s="335">
        <f t="shared" si="0"/>
        <v>1185866.079570099</v>
      </c>
      <c r="E14" s="86"/>
      <c r="F14" s="86"/>
      <c r="G14" s="87"/>
      <c r="H14" s="80"/>
      <c r="J14" s="81"/>
      <c r="L14" s="80"/>
      <c r="M14" s="80"/>
    </row>
    <row r="15" spans="2:15" ht="24.75" customHeight="1" x14ac:dyDescent="0.2">
      <c r="B15" s="89"/>
      <c r="C15" s="369"/>
      <c r="D15" s="92"/>
      <c r="E15" s="86"/>
      <c r="F15" s="86"/>
      <c r="G15" s="87"/>
      <c r="H15" s="80"/>
      <c r="J15" s="81"/>
      <c r="L15" s="80"/>
      <c r="M15" s="80"/>
    </row>
    <row r="16" spans="2:15" s="95" customFormat="1" ht="36" x14ac:dyDescent="0.25">
      <c r="B16" s="339" t="s">
        <v>251</v>
      </c>
      <c r="C16" s="340">
        <f>'ES CT Gas Table A'!I50-'ES CT Gas Table A'!I45-'ES CT Gas Table A'!I43-'ES CT Gas Table A'!I41-'ES CT Gas Table A'!I44</f>
        <v>16940943.993858557</v>
      </c>
      <c r="D16" s="92"/>
      <c r="E16" s="93"/>
      <c r="F16" s="93"/>
      <c r="G16" s="94"/>
      <c r="J16" s="96"/>
      <c r="K16" s="105"/>
    </row>
    <row r="17" spans="2:13" ht="25.5" customHeight="1" x14ac:dyDescent="0.2">
      <c r="B17" s="675" t="s">
        <v>245</v>
      </c>
      <c r="C17" s="675"/>
      <c r="D17" s="675"/>
      <c r="E17" s="86"/>
      <c r="F17" s="86"/>
      <c r="G17" s="87"/>
      <c r="H17" s="80"/>
      <c r="J17" s="81"/>
      <c r="L17" s="80"/>
      <c r="M17" s="80"/>
    </row>
    <row r="18" spans="2:13" ht="19.5" customHeight="1" x14ac:dyDescent="0.2">
      <c r="B18" s="675"/>
      <c r="C18" s="675"/>
      <c r="D18" s="675"/>
      <c r="E18" s="86"/>
      <c r="F18" s="86"/>
      <c r="G18" s="87"/>
      <c r="H18" s="80"/>
      <c r="J18" s="81"/>
      <c r="L18" s="80"/>
      <c r="M18" s="80"/>
    </row>
    <row r="19" spans="2:13" ht="19.5" customHeight="1" x14ac:dyDescent="0.2">
      <c r="B19" s="80"/>
      <c r="D19" s="86"/>
      <c r="E19" s="86"/>
      <c r="F19" s="86"/>
      <c r="G19" s="87"/>
      <c r="H19" s="80"/>
      <c r="J19" s="81"/>
      <c r="L19" s="80"/>
      <c r="M19" s="80"/>
    </row>
    <row r="20" spans="2:13" ht="19.5" customHeight="1" x14ac:dyDescent="0.2">
      <c r="B20" s="80"/>
      <c r="D20" s="86"/>
      <c r="E20" s="86"/>
      <c r="F20" s="86"/>
      <c r="G20" s="87"/>
      <c r="H20" s="80"/>
      <c r="J20" s="81"/>
      <c r="L20" s="80"/>
      <c r="M20" s="80"/>
    </row>
    <row r="21" spans="2:13" ht="19.5" customHeight="1" x14ac:dyDescent="0.25">
      <c r="B21" s="110"/>
      <c r="D21" s="86"/>
      <c r="E21" s="86"/>
      <c r="F21" s="86"/>
      <c r="G21" s="87"/>
      <c r="H21" s="80"/>
      <c r="J21" s="81"/>
      <c r="L21" s="80"/>
      <c r="M21" s="80"/>
    </row>
    <row r="22" spans="2:13" ht="9" customHeight="1" thickBot="1" x14ac:dyDescent="0.25">
      <c r="B22" s="80"/>
      <c r="D22" s="80"/>
      <c r="E22" s="80"/>
      <c r="F22" s="80"/>
      <c r="G22" s="80"/>
      <c r="H22" s="80"/>
      <c r="J22" s="81"/>
      <c r="L22" s="80"/>
      <c r="M22" s="80"/>
    </row>
    <row r="23" spans="2:13" s="34" customFormat="1" ht="23.25" customHeight="1" thickBot="1" x14ac:dyDescent="0.25">
      <c r="B23" s="673" t="s">
        <v>68</v>
      </c>
      <c r="C23" s="673"/>
      <c r="D23" s="673" t="s">
        <v>69</v>
      </c>
      <c r="E23" s="673"/>
      <c r="F23" s="673"/>
      <c r="G23" s="673"/>
      <c r="H23" s="674" t="s">
        <v>70</v>
      </c>
      <c r="I23" s="674"/>
      <c r="J23" s="674"/>
      <c r="K23" s="674"/>
    </row>
    <row r="24" spans="2:13" s="34" customFormat="1" ht="36.75" customHeight="1" thickBot="1" x14ac:dyDescent="0.25">
      <c r="B24" s="673" t="s">
        <v>71</v>
      </c>
      <c r="C24" s="673"/>
      <c r="D24" s="673"/>
      <c r="E24" s="673"/>
      <c r="F24" s="673"/>
      <c r="G24" s="673"/>
      <c r="H24" s="469" t="s">
        <v>72</v>
      </c>
      <c r="I24" s="469" t="s">
        <v>73</v>
      </c>
      <c r="J24" s="469" t="s">
        <v>74</v>
      </c>
      <c r="K24" s="379" t="s">
        <v>75</v>
      </c>
    </row>
    <row r="25" spans="2:13" ht="19.5" customHeight="1" thickBot="1" x14ac:dyDescent="0.25">
      <c r="B25" s="663"/>
      <c r="C25" s="664"/>
      <c r="D25" s="664"/>
      <c r="E25" s="664"/>
      <c r="F25" s="664"/>
      <c r="G25" s="664"/>
      <c r="H25" s="664"/>
      <c r="I25" s="664"/>
      <c r="J25" s="664"/>
      <c r="K25" s="665"/>
      <c r="L25" s="80"/>
      <c r="M25" s="80"/>
    </row>
    <row r="26" spans="2:13" ht="17.25" customHeight="1" x14ac:dyDescent="0.2">
      <c r="B26" s="641" t="s">
        <v>29</v>
      </c>
      <c r="C26" s="642"/>
      <c r="D26" s="645" t="s">
        <v>76</v>
      </c>
      <c r="E26" s="641" t="s">
        <v>77</v>
      </c>
      <c r="F26" s="642"/>
      <c r="G26" s="647" t="s">
        <v>78</v>
      </c>
      <c r="H26" s="666"/>
      <c r="I26" s="666"/>
      <c r="J26" s="666"/>
      <c r="K26" s="668"/>
      <c r="L26" s="80"/>
      <c r="M26" s="80"/>
    </row>
    <row r="27" spans="2:13" ht="18.75" customHeight="1" thickBot="1" x14ac:dyDescent="0.25">
      <c r="B27" s="643"/>
      <c r="C27" s="644"/>
      <c r="D27" s="646"/>
      <c r="E27" s="643"/>
      <c r="F27" s="644"/>
      <c r="G27" s="648"/>
      <c r="H27" s="667"/>
      <c r="I27" s="667"/>
      <c r="J27" s="667"/>
      <c r="K27" s="669"/>
      <c r="L27" s="80"/>
      <c r="M27" s="80"/>
    </row>
    <row r="28" spans="2:13" ht="18" customHeight="1" thickBot="1" x14ac:dyDescent="0.25">
      <c r="B28" s="624" t="s">
        <v>246</v>
      </c>
      <c r="C28" s="627">
        <f>'ES CT Gas Table A'!I18</f>
        <v>9489368.2196826655</v>
      </c>
      <c r="D28" s="690" t="s">
        <v>5</v>
      </c>
      <c r="E28" s="691"/>
      <c r="F28" s="691"/>
      <c r="G28" s="692"/>
      <c r="H28" s="679" t="s">
        <v>243</v>
      </c>
      <c r="I28" s="679" t="s">
        <v>244</v>
      </c>
      <c r="J28" s="705">
        <v>0.21440000000000001</v>
      </c>
      <c r="K28" s="627">
        <f>$D$10*J28</f>
        <v>181606.91961416375</v>
      </c>
      <c r="L28" s="80"/>
      <c r="M28" s="80"/>
    </row>
    <row r="29" spans="2:13" ht="43.5" hidden="1" customHeight="1" thickBot="1" x14ac:dyDescent="0.25">
      <c r="B29" s="625"/>
      <c r="C29" s="628"/>
      <c r="D29" s="693"/>
      <c r="E29" s="694"/>
      <c r="F29" s="694"/>
      <c r="G29" s="695"/>
      <c r="H29" s="680"/>
      <c r="I29" s="680"/>
      <c r="J29" s="706"/>
      <c r="K29" s="628"/>
      <c r="L29" s="80"/>
      <c r="M29" s="80"/>
    </row>
    <row r="30" spans="2:13" ht="18.75" customHeight="1" thickBot="1" x14ac:dyDescent="0.3">
      <c r="B30" s="625"/>
      <c r="C30" s="628"/>
      <c r="D30" s="373" t="s">
        <v>198</v>
      </c>
      <c r="E30" s="685">
        <f>'2014-24 ES CT G Table D2LifeCCF'!M11</f>
        <v>2237483.578048483</v>
      </c>
      <c r="F30" s="686"/>
      <c r="G30" s="350">
        <f>(E30*E$37)/I$33</f>
        <v>0.1463234916715643</v>
      </c>
      <c r="H30" s="680"/>
      <c r="I30" s="680"/>
      <c r="J30" s="706"/>
      <c r="K30" s="628"/>
      <c r="L30" s="80"/>
      <c r="M30" s="80"/>
    </row>
    <row r="31" spans="2:13" ht="18.75" customHeight="1" thickBot="1" x14ac:dyDescent="0.3">
      <c r="B31" s="625"/>
      <c r="C31" s="628"/>
      <c r="D31" s="373" t="s">
        <v>96</v>
      </c>
      <c r="E31" s="685">
        <f>'2014-24 ES CT G Table D2LifeCCF'!M12</f>
        <v>2112233.9137701471</v>
      </c>
      <c r="F31" s="686"/>
      <c r="G31" s="350">
        <f>(E31*E$37)/I$33</f>
        <v>0.13813260777516406</v>
      </c>
      <c r="H31" s="680"/>
      <c r="I31" s="680"/>
      <c r="J31" s="706"/>
      <c r="K31" s="628"/>
      <c r="L31" s="80"/>
      <c r="M31" s="80"/>
    </row>
    <row r="32" spans="2:13" ht="45" customHeight="1" thickBot="1" x14ac:dyDescent="0.3">
      <c r="B32" s="625"/>
      <c r="C32" s="628"/>
      <c r="D32" s="501" t="s">
        <v>349</v>
      </c>
      <c r="E32" s="685">
        <f>'2014-24 ES CT G Table D2LifeCCF'!M13</f>
        <v>8134612.3425008366</v>
      </c>
      <c r="F32" s="686"/>
      <c r="G32" s="350">
        <f>(E32*E$37)/I$33</f>
        <v>0.53197480107875617</v>
      </c>
      <c r="H32" s="680"/>
      <c r="I32" s="681"/>
      <c r="J32" s="706"/>
      <c r="K32" s="628"/>
      <c r="L32" s="80"/>
      <c r="M32" s="80"/>
    </row>
    <row r="33" spans="2:17" ht="18.75" customHeight="1" thickBot="1" x14ac:dyDescent="0.3">
      <c r="B33" s="625"/>
      <c r="C33" s="628"/>
      <c r="D33" s="373" t="s">
        <v>197</v>
      </c>
      <c r="E33" s="685">
        <f>'2014-24 ES CT G Table D2LifeCCF'!M19</f>
        <v>2797801.2933168081</v>
      </c>
      <c r="F33" s="686"/>
      <c r="G33" s="350">
        <f>(E33*E$37)/I$33</f>
        <v>0.18296628330939332</v>
      </c>
      <c r="H33" s="680"/>
      <c r="I33" s="676">
        <f>E38</f>
        <v>12178903.492742276</v>
      </c>
      <c r="J33" s="706"/>
      <c r="K33" s="628"/>
      <c r="L33" s="80"/>
      <c r="M33" s="80"/>
    </row>
    <row r="34" spans="2:17" ht="28.5" customHeight="1" thickBot="1" x14ac:dyDescent="0.3">
      <c r="B34" s="625"/>
      <c r="C34" s="628"/>
      <c r="D34" s="471" t="s">
        <v>211</v>
      </c>
      <c r="E34" s="685">
        <f>'2014-24 ES CT G Table D2LifeCCF'!M21</f>
        <v>9218</v>
      </c>
      <c r="F34" s="686"/>
      <c r="G34" s="350">
        <f>(E34*E$37)/I$33</f>
        <v>6.0282451208196219E-4</v>
      </c>
      <c r="H34" s="680"/>
      <c r="I34" s="677"/>
      <c r="J34" s="706"/>
      <c r="K34" s="628"/>
      <c r="L34" s="80"/>
      <c r="M34" s="80"/>
    </row>
    <row r="35" spans="2:17" ht="18.75" customHeight="1" thickBot="1" x14ac:dyDescent="0.3">
      <c r="B35" s="625"/>
      <c r="C35" s="628"/>
      <c r="D35" s="374" t="s">
        <v>79</v>
      </c>
      <c r="E35" s="708">
        <f>ROUND(SUM(E30:E34),0)</f>
        <v>15291349</v>
      </c>
      <c r="F35" s="709"/>
      <c r="G35" s="352"/>
      <c r="H35" s="680"/>
      <c r="I35" s="677"/>
      <c r="J35" s="706"/>
      <c r="K35" s="628"/>
      <c r="L35" s="80"/>
      <c r="M35" s="80"/>
      <c r="Q35" s="80" t="s">
        <v>5</v>
      </c>
    </row>
    <row r="36" spans="2:17" ht="18.75" customHeight="1" thickBot="1" x14ac:dyDescent="0.25">
      <c r="B36" s="625"/>
      <c r="C36" s="628"/>
      <c r="D36" s="682"/>
      <c r="E36" s="683"/>
      <c r="F36" s="683"/>
      <c r="G36" s="684"/>
      <c r="H36" s="680"/>
      <c r="I36" s="677"/>
      <c r="J36" s="706"/>
      <c r="K36" s="628"/>
      <c r="L36" s="80"/>
      <c r="M36" s="80"/>
    </row>
    <row r="37" spans="2:17" ht="30" customHeight="1" thickBot="1" x14ac:dyDescent="0.3">
      <c r="B37" s="625"/>
      <c r="C37" s="628"/>
      <c r="D37" s="351" t="s">
        <v>80</v>
      </c>
      <c r="E37" s="376">
        <f>E38/E35</f>
        <v>0.79645710085763366</v>
      </c>
      <c r="F37" s="377" t="s">
        <v>338</v>
      </c>
      <c r="G37" s="349"/>
      <c r="H37" s="680"/>
      <c r="I37" s="677"/>
      <c r="J37" s="706"/>
      <c r="K37" s="628"/>
      <c r="L37" s="80"/>
      <c r="M37" s="80"/>
    </row>
    <row r="38" spans="2:17" ht="21.75" customHeight="1" thickBot="1" x14ac:dyDescent="0.25">
      <c r="B38" s="625"/>
      <c r="C38" s="628"/>
      <c r="D38" s="345" t="s">
        <v>81</v>
      </c>
      <c r="E38" s="472">
        <f>'[15] Eversource Gas_Table B'!$E$13*1000</f>
        <v>12178903.492742276</v>
      </c>
      <c r="F38" s="353"/>
      <c r="G38" s="345"/>
      <c r="H38" s="680"/>
      <c r="I38" s="677"/>
      <c r="J38" s="706"/>
      <c r="K38" s="628"/>
      <c r="L38" s="80"/>
      <c r="M38" s="80"/>
    </row>
    <row r="39" spans="2:17" ht="30" customHeight="1" thickBot="1" x14ac:dyDescent="0.25">
      <c r="B39" s="626"/>
      <c r="C39" s="629"/>
      <c r="D39" s="687" t="s">
        <v>82</v>
      </c>
      <c r="E39" s="688"/>
      <c r="F39" s="688"/>
      <c r="G39" s="689"/>
      <c r="H39" s="681"/>
      <c r="I39" s="678"/>
      <c r="J39" s="707"/>
      <c r="K39" s="629"/>
      <c r="L39" s="80"/>
      <c r="M39" s="80"/>
    </row>
    <row r="40" spans="2:17" ht="42" customHeight="1" thickBot="1" x14ac:dyDescent="0.25">
      <c r="B40" s="471" t="s">
        <v>241</v>
      </c>
      <c r="D40" s="687"/>
      <c r="E40" s="688"/>
      <c r="F40" s="688"/>
      <c r="G40" s="689"/>
      <c r="H40" s="470"/>
      <c r="I40" s="472">
        <f>I33-C28</f>
        <v>2689535.2730596103</v>
      </c>
      <c r="J40" s="356">
        <v>0.21440000000000001</v>
      </c>
      <c r="K40" s="472">
        <f>$D$10*J40</f>
        <v>181606.91961416375</v>
      </c>
      <c r="L40" s="80"/>
      <c r="M40" s="80"/>
    </row>
    <row r="41" spans="2:17" ht="120" customHeight="1" thickBot="1" x14ac:dyDescent="0.25">
      <c r="B41" s="341" t="s">
        <v>96</v>
      </c>
      <c r="C41" s="472">
        <f>'ES CT Gas Table A'!I14</f>
        <v>1811975.3862450402</v>
      </c>
      <c r="D41" s="710" t="s">
        <v>339</v>
      </c>
      <c r="E41" s="710"/>
      <c r="F41" s="710"/>
      <c r="G41" s="710"/>
      <c r="H41" s="477" t="s">
        <v>340</v>
      </c>
      <c r="I41" s="342" t="s">
        <v>341</v>
      </c>
      <c r="J41" s="343">
        <v>4.4999999999999998E-2</v>
      </c>
      <c r="K41" s="358">
        <f>$D$10*J41</f>
        <v>38117.123986181752</v>
      </c>
      <c r="L41" s="80"/>
      <c r="M41" s="80"/>
    </row>
    <row r="42" spans="2:17" ht="91.5" customHeight="1" thickBot="1" x14ac:dyDescent="0.25">
      <c r="B42" s="471" t="s">
        <v>247</v>
      </c>
      <c r="C42" s="472">
        <f>'ES CT Gas Table A'!I16</f>
        <v>3395274.2081856499</v>
      </c>
      <c r="D42" s="711" t="s">
        <v>342</v>
      </c>
      <c r="E42" s="711"/>
      <c r="F42" s="711"/>
      <c r="G42" s="711"/>
      <c r="H42" s="496" t="s">
        <v>340</v>
      </c>
      <c r="I42" s="342" t="s">
        <v>343</v>
      </c>
      <c r="J42" s="343">
        <v>4.4999999999999998E-2</v>
      </c>
      <c r="K42" s="359">
        <f>$D$10*J42</f>
        <v>38117.123986181752</v>
      </c>
    </row>
    <row r="43" spans="2:17" ht="30" customHeight="1" thickBot="1" x14ac:dyDescent="0.25">
      <c r="B43" s="383"/>
      <c r="C43" s="712"/>
      <c r="D43" s="712"/>
      <c r="E43" s="712"/>
      <c r="F43" s="712"/>
      <c r="G43" s="712"/>
      <c r="H43" s="712"/>
      <c r="I43" s="712"/>
      <c r="J43" s="712"/>
      <c r="K43" s="640"/>
    </row>
    <row r="44" spans="2:17" ht="36.75" customHeight="1" x14ac:dyDescent="0.2">
      <c r="B44" s="641" t="s">
        <v>83</v>
      </c>
      <c r="C44" s="642"/>
      <c r="D44" s="645" t="s">
        <v>76</v>
      </c>
      <c r="E44" s="641" t="s">
        <v>344</v>
      </c>
      <c r="F44" s="642"/>
      <c r="G44" s="647" t="s">
        <v>78</v>
      </c>
      <c r="H44" s="713"/>
      <c r="I44" s="713"/>
      <c r="J44" s="713"/>
      <c r="K44" s="621"/>
    </row>
    <row r="45" spans="2:17" ht="19.5" customHeight="1" thickBot="1" x14ac:dyDescent="0.25">
      <c r="B45" s="643"/>
      <c r="C45" s="644"/>
      <c r="D45" s="646"/>
      <c r="E45" s="643"/>
      <c r="F45" s="644"/>
      <c r="G45" s="648"/>
      <c r="H45" s="714"/>
      <c r="I45" s="714"/>
      <c r="J45" s="714"/>
      <c r="K45" s="622"/>
    </row>
    <row r="46" spans="2:17" ht="45.75" customHeight="1" thickBot="1" x14ac:dyDescent="0.3">
      <c r="B46" s="624" t="s">
        <v>84</v>
      </c>
      <c r="C46" s="627">
        <f>'ES CT Gas Table A'!I24</f>
        <v>6202896.4821190303</v>
      </c>
      <c r="D46" s="478" t="s">
        <v>85</v>
      </c>
      <c r="E46" s="633">
        <f>'2014-24 ES CT G Table D2LifeCCF'!M24</f>
        <v>5791866.2164351977</v>
      </c>
      <c r="F46" s="634"/>
      <c r="G46" s="350">
        <f>(E46*$E$52)/$I$48</f>
        <v>0.62007677871614353</v>
      </c>
      <c r="H46" s="699" t="s">
        <v>250</v>
      </c>
      <c r="I46" s="623" t="s">
        <v>100</v>
      </c>
      <c r="J46" s="658">
        <v>0.18559999999999999</v>
      </c>
      <c r="K46" s="652">
        <f>$D$10*J46</f>
        <v>157211.96026300741</v>
      </c>
    </row>
    <row r="47" spans="2:17" ht="28.5" customHeight="1" thickBot="1" x14ac:dyDescent="0.3">
      <c r="B47" s="625"/>
      <c r="C47" s="628"/>
      <c r="D47" s="478" t="s">
        <v>86</v>
      </c>
      <c r="E47" s="633">
        <f>'2014-24 ES CT G Table D2LifeCCF'!M25</f>
        <v>1872117.7518702147</v>
      </c>
      <c r="F47" s="634"/>
      <c r="G47" s="350">
        <f>(E47*$E$52)/$I$48</f>
        <v>0.20042879126988541</v>
      </c>
      <c r="H47" s="700"/>
      <c r="I47" s="623"/>
      <c r="J47" s="659"/>
      <c r="K47" s="653"/>
    </row>
    <row r="48" spans="2:17" ht="36.75" thickBot="1" x14ac:dyDescent="0.3">
      <c r="B48" s="625"/>
      <c r="C48" s="628"/>
      <c r="D48" s="478" t="s">
        <v>199</v>
      </c>
      <c r="E48" s="633">
        <f>'2014-24 ES CT G Table D2LifeCCF'!M26</f>
        <v>994218.80876266269</v>
      </c>
      <c r="F48" s="634"/>
      <c r="G48" s="350">
        <f>(E48*$E$52)/$I$48</f>
        <v>0.10644099384187686</v>
      </c>
      <c r="H48" s="700"/>
      <c r="I48" s="702">
        <f>E53</f>
        <v>6577651.0425018296</v>
      </c>
      <c r="J48" s="659"/>
      <c r="K48" s="653"/>
    </row>
    <row r="49" spans="2:16" ht="30.75" customHeight="1" thickBot="1" x14ac:dyDescent="0.3">
      <c r="B49" s="625"/>
      <c r="C49" s="628"/>
      <c r="D49" s="478" t="s">
        <v>11</v>
      </c>
      <c r="E49" s="633">
        <f>'2014-24 ES CT G Table D2LifeCCF'!M27</f>
        <v>682359.87063807726</v>
      </c>
      <c r="F49" s="634"/>
      <c r="G49" s="350">
        <f>(E49*$E$52)/$I$48</f>
        <v>7.3053398455540333E-2</v>
      </c>
      <c r="H49" s="700"/>
      <c r="I49" s="703"/>
      <c r="J49" s="659"/>
      <c r="K49" s="653"/>
    </row>
    <row r="50" spans="2:16" ht="27.75" customHeight="1" thickBot="1" x14ac:dyDescent="0.3">
      <c r="B50" s="625"/>
      <c r="C50" s="628"/>
      <c r="D50" s="380" t="s">
        <v>79</v>
      </c>
      <c r="E50" s="635">
        <f>ROUND(SUM(E46:E49),0)</f>
        <v>9340563</v>
      </c>
      <c r="F50" s="636"/>
      <c r="G50" s="347"/>
      <c r="H50" s="700"/>
      <c r="I50" s="703"/>
      <c r="J50" s="659"/>
      <c r="K50" s="653"/>
    </row>
    <row r="51" spans="2:16" ht="18.75" customHeight="1" thickBot="1" x14ac:dyDescent="0.25">
      <c r="B51" s="625"/>
      <c r="C51" s="628"/>
      <c r="D51" s="474"/>
      <c r="E51" s="475"/>
      <c r="F51" s="475"/>
      <c r="G51" s="476"/>
      <c r="H51" s="700"/>
      <c r="I51" s="703"/>
      <c r="J51" s="659"/>
      <c r="K51" s="653"/>
    </row>
    <row r="52" spans="2:16" ht="32.25" customHeight="1" thickBot="1" x14ac:dyDescent="0.25">
      <c r="B52" s="625"/>
      <c r="C52" s="628"/>
      <c r="D52" s="478" t="s">
        <v>80</v>
      </c>
      <c r="E52" s="376">
        <f>E53/E50</f>
        <v>0.70420284542824985</v>
      </c>
      <c r="F52" s="382" t="s">
        <v>338</v>
      </c>
      <c r="G52" s="637"/>
      <c r="H52" s="700"/>
      <c r="I52" s="703"/>
      <c r="J52" s="659"/>
      <c r="K52" s="653"/>
    </row>
    <row r="53" spans="2:16" ht="28.5" customHeight="1" thickBot="1" x14ac:dyDescent="0.25">
      <c r="B53" s="625"/>
      <c r="C53" s="628"/>
      <c r="D53" s="478" t="s">
        <v>81</v>
      </c>
      <c r="E53" s="639">
        <f>'[15] Eversource Gas_Table B'!$E$19*1000</f>
        <v>6577651.0425018296</v>
      </c>
      <c r="F53" s="640"/>
      <c r="G53" s="638"/>
      <c r="H53" s="700"/>
      <c r="I53" s="703"/>
      <c r="J53" s="659"/>
      <c r="K53" s="653"/>
      <c r="M53" s="97"/>
      <c r="P53" s="98"/>
    </row>
    <row r="54" spans="2:16" ht="27.75" customHeight="1" thickBot="1" x14ac:dyDescent="0.25">
      <c r="B54" s="626"/>
      <c r="C54" s="629"/>
      <c r="D54" s="630" t="s">
        <v>82</v>
      </c>
      <c r="E54" s="631"/>
      <c r="F54" s="631"/>
      <c r="G54" s="632"/>
      <c r="H54" s="701"/>
      <c r="I54" s="704"/>
      <c r="J54" s="660"/>
      <c r="K54" s="654"/>
      <c r="P54" s="98"/>
    </row>
    <row r="55" spans="2:16" ht="67.5" customHeight="1" thickBot="1" x14ac:dyDescent="0.25">
      <c r="B55" s="471" t="s">
        <v>248</v>
      </c>
      <c r="D55" s="696"/>
      <c r="E55" s="697"/>
      <c r="F55" s="697"/>
      <c r="G55" s="698"/>
      <c r="H55" s="473"/>
      <c r="I55" s="361">
        <f>E53-C46</f>
        <v>374754.56038279925</v>
      </c>
      <c r="J55" s="346">
        <v>0.18559999999999999</v>
      </c>
      <c r="K55" s="361">
        <f>$D$10*J55</f>
        <v>157211.96026300741</v>
      </c>
      <c r="M55" s="97"/>
      <c r="P55" s="98"/>
    </row>
    <row r="56" spans="2:16" s="101" customFormat="1" ht="25.5" customHeight="1" thickBot="1" x14ac:dyDescent="0.25">
      <c r="B56" s="661" t="s">
        <v>11</v>
      </c>
      <c r="C56" s="662">
        <f>'ES CT Gas Table A'!I23</f>
        <v>487946.61648411001</v>
      </c>
      <c r="D56" s="623" t="s">
        <v>333</v>
      </c>
      <c r="E56" s="623"/>
      <c r="F56" s="623"/>
      <c r="G56" s="623"/>
      <c r="H56" s="652" t="s">
        <v>242</v>
      </c>
      <c r="I56" s="655" t="s">
        <v>336</v>
      </c>
      <c r="J56" s="658">
        <v>0.05</v>
      </c>
      <c r="K56" s="652">
        <f>$D$10*J56</f>
        <v>42352.359984646399</v>
      </c>
      <c r="M56" s="102"/>
      <c r="P56" s="103"/>
    </row>
    <row r="57" spans="2:16" s="101" customFormat="1" ht="25.5" customHeight="1" thickBot="1" x14ac:dyDescent="0.25">
      <c r="B57" s="661"/>
      <c r="C57" s="662"/>
      <c r="D57" s="623"/>
      <c r="E57" s="623"/>
      <c r="F57" s="623"/>
      <c r="G57" s="623"/>
      <c r="H57" s="653"/>
      <c r="I57" s="656"/>
      <c r="J57" s="659"/>
      <c r="K57" s="653"/>
      <c r="M57" s="102"/>
      <c r="P57" s="103"/>
    </row>
    <row r="58" spans="2:16" s="101" customFormat="1" ht="25.5" customHeight="1" thickBot="1" x14ac:dyDescent="0.25">
      <c r="B58" s="661"/>
      <c r="C58" s="662"/>
      <c r="D58" s="623"/>
      <c r="E58" s="623"/>
      <c r="F58" s="623"/>
      <c r="G58" s="623"/>
      <c r="H58" s="653"/>
      <c r="I58" s="656"/>
      <c r="J58" s="659"/>
      <c r="K58" s="653"/>
      <c r="M58" s="102"/>
      <c r="P58" s="103"/>
    </row>
    <row r="59" spans="2:16" s="101" customFormat="1" ht="25.5" customHeight="1" thickBot="1" x14ac:dyDescent="0.25">
      <c r="B59" s="661"/>
      <c r="C59" s="662"/>
      <c r="D59" s="623"/>
      <c r="E59" s="623"/>
      <c r="F59" s="623"/>
      <c r="G59" s="623"/>
      <c r="H59" s="653"/>
      <c r="I59" s="656"/>
      <c r="J59" s="659"/>
      <c r="K59" s="653"/>
      <c r="M59" s="102"/>
      <c r="P59" s="103"/>
    </row>
    <row r="60" spans="2:16" s="101" customFormat="1" ht="46.5" customHeight="1" thickBot="1" x14ac:dyDescent="0.25">
      <c r="B60" s="661"/>
      <c r="C60" s="662"/>
      <c r="D60" s="623"/>
      <c r="E60" s="623"/>
      <c r="F60" s="623"/>
      <c r="G60" s="623"/>
      <c r="H60" s="654"/>
      <c r="I60" s="657"/>
      <c r="J60" s="660"/>
      <c r="K60" s="654"/>
      <c r="M60" s="102"/>
      <c r="P60" s="103"/>
    </row>
    <row r="61" spans="2:16" ht="189" customHeight="1" thickBot="1" x14ac:dyDescent="0.25">
      <c r="B61" s="471" t="s">
        <v>249</v>
      </c>
      <c r="C61" s="472">
        <f>'ES CT Gas Table A'!$I$20+'ES CT Gas Table A'!I21</f>
        <v>5240998.1518911598</v>
      </c>
      <c r="D61" s="623" t="s">
        <v>334</v>
      </c>
      <c r="E61" s="623"/>
      <c r="F61" s="623"/>
      <c r="G61" s="623"/>
      <c r="H61" s="361" t="s">
        <v>242</v>
      </c>
      <c r="I61" s="477" t="s">
        <v>337</v>
      </c>
      <c r="J61" s="346">
        <v>0.05</v>
      </c>
      <c r="K61" s="361">
        <f>$D$10*J61</f>
        <v>42352.359984646399</v>
      </c>
      <c r="P61" s="98"/>
    </row>
    <row r="62" spans="2:16" ht="189" customHeight="1" thickBot="1" x14ac:dyDescent="0.25">
      <c r="B62" s="471" t="s">
        <v>263</v>
      </c>
      <c r="C62" s="472" t="s">
        <v>5</v>
      </c>
      <c r="D62" s="623" t="s">
        <v>264</v>
      </c>
      <c r="E62" s="623"/>
      <c r="F62" s="623"/>
      <c r="G62" s="623"/>
      <c r="H62" s="477" t="s">
        <v>265</v>
      </c>
      <c r="I62" s="477" t="s">
        <v>266</v>
      </c>
      <c r="J62" s="346">
        <v>0.01</v>
      </c>
      <c r="K62" s="361">
        <f>$D$10*J62</f>
        <v>8470.4719969292782</v>
      </c>
      <c r="P62" s="98"/>
    </row>
    <row r="63" spans="2:16" ht="34.5" customHeight="1" thickBot="1" x14ac:dyDescent="0.3">
      <c r="B63" s="649" t="s">
        <v>267</v>
      </c>
      <c r="C63" s="650"/>
      <c r="D63" s="650"/>
      <c r="E63" s="650"/>
      <c r="F63" s="650"/>
      <c r="G63" s="650"/>
      <c r="H63" s="651"/>
      <c r="I63" s="375"/>
      <c r="J63" s="362">
        <f>SUM(J28:J62)</f>
        <v>1</v>
      </c>
      <c r="K63" s="363">
        <f>SUM(K28:K62)</f>
        <v>847047.199692928</v>
      </c>
    </row>
    <row r="64" spans="2:16" ht="38.25" customHeight="1" x14ac:dyDescent="0.2">
      <c r="B64" s="95"/>
      <c r="C64" s="95"/>
      <c r="D64" s="99"/>
      <c r="E64" s="95"/>
      <c r="F64" s="95"/>
      <c r="G64" s="95"/>
      <c r="H64" s="95"/>
      <c r="I64" s="95"/>
      <c r="J64" s="96"/>
      <c r="K64" s="105"/>
    </row>
    <row r="65" spans="2:11" ht="21.75" customHeight="1" x14ac:dyDescent="0.2">
      <c r="B65" s="95"/>
      <c r="C65" s="95"/>
      <c r="D65" s="95"/>
      <c r="E65" s="95"/>
      <c r="F65" s="95"/>
      <c r="G65" s="95"/>
      <c r="H65" s="95"/>
      <c r="I65" s="95"/>
      <c r="J65" s="96"/>
      <c r="K65" s="105"/>
    </row>
    <row r="66" spans="2:11" ht="30" customHeight="1" x14ac:dyDescent="0.2">
      <c r="B66" s="95"/>
      <c r="C66" s="95"/>
      <c r="D66" s="95"/>
      <c r="E66" s="95"/>
      <c r="F66" s="95"/>
      <c r="G66" s="95"/>
      <c r="H66" s="95"/>
      <c r="I66" s="95"/>
      <c r="J66" s="96"/>
      <c r="K66" s="105"/>
    </row>
    <row r="67" spans="2:11" ht="18.75" customHeight="1" x14ac:dyDescent="0.2">
      <c r="B67" s="95"/>
      <c r="C67" s="95"/>
      <c r="D67" s="95"/>
      <c r="E67" s="95"/>
      <c r="F67" s="95"/>
      <c r="G67" s="95"/>
      <c r="H67" s="95"/>
      <c r="I67" s="95"/>
      <c r="J67" s="96"/>
      <c r="K67" s="105"/>
    </row>
    <row r="68" spans="2:11" ht="18.75" customHeight="1" x14ac:dyDescent="0.2">
      <c r="B68" s="95"/>
      <c r="C68" s="95"/>
      <c r="D68" s="95"/>
      <c r="E68" s="95"/>
      <c r="F68" s="95"/>
      <c r="G68" s="95"/>
      <c r="H68" s="95"/>
      <c r="I68" s="95"/>
      <c r="J68" s="96"/>
      <c r="K68" s="105"/>
    </row>
    <row r="69" spans="2:11" ht="18.75" customHeight="1" x14ac:dyDescent="0.2">
      <c r="B69" s="95"/>
      <c r="C69" s="95"/>
      <c r="D69" s="95"/>
      <c r="E69" s="95"/>
      <c r="F69" s="95"/>
      <c r="G69" s="95"/>
      <c r="H69" s="95"/>
      <c r="I69" s="95"/>
      <c r="J69" s="96"/>
      <c r="K69" s="105"/>
    </row>
    <row r="70" spans="2:11" ht="30.75" customHeight="1" x14ac:dyDescent="0.2">
      <c r="B70" s="95"/>
      <c r="C70" s="95"/>
      <c r="D70" s="95"/>
      <c r="E70" s="95"/>
      <c r="F70" s="95"/>
      <c r="G70" s="95"/>
      <c r="H70" s="95"/>
      <c r="I70" s="95"/>
      <c r="J70" s="96"/>
      <c r="K70" s="105"/>
    </row>
    <row r="71" spans="2:11" ht="18.75" customHeight="1" x14ac:dyDescent="0.2">
      <c r="B71" s="95"/>
      <c r="C71" s="95"/>
      <c r="D71" s="95"/>
      <c r="E71" s="95"/>
      <c r="F71" s="95"/>
      <c r="G71" s="95"/>
      <c r="H71" s="95"/>
      <c r="I71" s="95"/>
      <c r="J71" s="96"/>
      <c r="K71" s="105"/>
    </row>
    <row r="72" spans="2:11" ht="18.75" customHeight="1" x14ac:dyDescent="0.2">
      <c r="B72" s="95"/>
      <c r="C72" s="95"/>
      <c r="D72" s="95"/>
      <c r="E72" s="95"/>
      <c r="F72" s="95"/>
      <c r="G72" s="95"/>
      <c r="H72" s="95"/>
      <c r="I72" s="95"/>
      <c r="J72" s="96"/>
      <c r="K72" s="105"/>
    </row>
    <row r="73" spans="2:11" ht="18.75" customHeight="1" x14ac:dyDescent="0.2">
      <c r="B73" s="95"/>
      <c r="C73" s="95"/>
      <c r="D73" s="95"/>
      <c r="E73" s="95"/>
      <c r="F73" s="95"/>
      <c r="G73" s="95"/>
      <c r="H73" s="95"/>
      <c r="I73" s="95"/>
      <c r="J73" s="96"/>
      <c r="K73" s="105"/>
    </row>
    <row r="74" spans="2:11" ht="23.25" customHeight="1" x14ac:dyDescent="0.2">
      <c r="B74" s="95"/>
      <c r="C74" s="95"/>
      <c r="D74" s="95"/>
      <c r="E74" s="95"/>
      <c r="F74" s="95"/>
      <c r="G74" s="95"/>
      <c r="H74" s="95"/>
      <c r="I74" s="95"/>
      <c r="J74" s="96"/>
      <c r="K74" s="105"/>
    </row>
    <row r="75" spans="2:11" ht="19.5" customHeight="1" x14ac:dyDescent="0.2">
      <c r="B75" s="95"/>
      <c r="C75" s="95"/>
      <c r="D75" s="95"/>
      <c r="E75" s="95"/>
      <c r="F75" s="95"/>
      <c r="G75" s="95"/>
      <c r="H75" s="95"/>
      <c r="I75" s="95"/>
      <c r="J75" s="96"/>
      <c r="K75" s="105"/>
    </row>
    <row r="76" spans="2:11" ht="14.25" x14ac:dyDescent="0.2">
      <c r="B76" s="95"/>
      <c r="C76" s="95"/>
      <c r="D76" s="95"/>
      <c r="E76" s="95"/>
      <c r="F76" s="95"/>
      <c r="G76" s="95"/>
      <c r="H76" s="95"/>
      <c r="I76" s="95"/>
      <c r="J76" s="96"/>
      <c r="K76" s="105"/>
    </row>
    <row r="77" spans="2:11" ht="14.25" x14ac:dyDescent="0.2">
      <c r="B77" s="95"/>
      <c r="C77" s="95"/>
      <c r="D77" s="95"/>
      <c r="E77" s="95"/>
      <c r="F77" s="95"/>
      <c r="G77" s="95"/>
      <c r="H77" s="95"/>
      <c r="I77" s="95"/>
      <c r="J77" s="96"/>
      <c r="K77" s="105"/>
    </row>
    <row r="78" spans="2:11" ht="14.25" x14ac:dyDescent="0.2">
      <c r="B78" s="95"/>
      <c r="C78" s="95"/>
      <c r="D78" s="95"/>
      <c r="E78" s="95"/>
      <c r="F78" s="95"/>
      <c r="G78" s="95"/>
      <c r="H78" s="95"/>
      <c r="I78" s="95"/>
      <c r="J78" s="96"/>
      <c r="K78" s="105"/>
    </row>
    <row r="79" spans="2:11" ht="14.25" x14ac:dyDescent="0.2">
      <c r="B79" s="95"/>
      <c r="C79" s="95"/>
      <c r="D79" s="95"/>
      <c r="E79" s="95"/>
      <c r="F79" s="95"/>
      <c r="G79" s="95"/>
      <c r="H79" s="95"/>
      <c r="I79" s="95"/>
      <c r="J79" s="96"/>
      <c r="K79" s="105"/>
    </row>
    <row r="80" spans="2:11" ht="14.25" x14ac:dyDescent="0.2">
      <c r="B80" s="95"/>
      <c r="C80" s="95"/>
      <c r="D80" s="95"/>
      <c r="E80" s="95"/>
      <c r="F80" s="95"/>
      <c r="G80" s="95"/>
      <c r="H80" s="95"/>
      <c r="I80" s="95"/>
      <c r="J80" s="96"/>
      <c r="K80" s="105"/>
    </row>
    <row r="81" spans="2:11" ht="14.25" x14ac:dyDescent="0.2">
      <c r="B81" s="95"/>
      <c r="C81" s="95"/>
      <c r="D81" s="95"/>
      <c r="E81" s="95"/>
      <c r="F81" s="95"/>
      <c r="G81" s="95"/>
      <c r="H81" s="95"/>
      <c r="I81" s="95"/>
      <c r="J81" s="96"/>
      <c r="K81" s="105"/>
    </row>
    <row r="82" spans="2:11" ht="14.25" x14ac:dyDescent="0.2">
      <c r="B82" s="95"/>
      <c r="C82" s="95"/>
      <c r="D82" s="95"/>
      <c r="E82" s="95"/>
      <c r="F82" s="95"/>
      <c r="G82" s="95"/>
      <c r="H82" s="95"/>
      <c r="I82" s="95"/>
      <c r="J82" s="96"/>
      <c r="K82" s="105"/>
    </row>
    <row r="83" spans="2:11" ht="14.25" x14ac:dyDescent="0.2">
      <c r="B83" s="95"/>
      <c r="C83" s="95"/>
      <c r="D83" s="95"/>
      <c r="E83" s="95"/>
      <c r="F83" s="95"/>
      <c r="G83" s="95"/>
      <c r="H83" s="95"/>
      <c r="I83" s="95"/>
      <c r="J83" s="96"/>
      <c r="K83" s="105"/>
    </row>
    <row r="84" spans="2:11" ht="14.25" x14ac:dyDescent="0.2">
      <c r="B84" s="95"/>
      <c r="C84" s="95"/>
      <c r="D84" s="95"/>
      <c r="E84" s="95"/>
      <c r="F84" s="95"/>
      <c r="G84" s="95"/>
      <c r="H84" s="95"/>
      <c r="I84" s="95"/>
      <c r="J84" s="96"/>
      <c r="K84" s="105"/>
    </row>
    <row r="85" spans="2:11" ht="14.25" x14ac:dyDescent="0.2">
      <c r="B85" s="95"/>
      <c r="C85" s="95"/>
      <c r="D85" s="95"/>
      <c r="E85" s="95"/>
      <c r="F85" s="95"/>
      <c r="G85" s="95"/>
      <c r="H85" s="95"/>
      <c r="I85" s="95"/>
      <c r="J85" s="96"/>
      <c r="K85" s="105"/>
    </row>
    <row r="86" spans="2:11" ht="14.25" x14ac:dyDescent="0.2">
      <c r="B86" s="95"/>
      <c r="C86" s="95"/>
      <c r="D86" s="95"/>
      <c r="E86" s="95"/>
      <c r="F86" s="95"/>
      <c r="G86" s="95"/>
      <c r="H86" s="95"/>
      <c r="I86" s="95"/>
      <c r="J86" s="96"/>
      <c r="K86" s="105"/>
    </row>
    <row r="87" spans="2:11" ht="14.25" x14ac:dyDescent="0.2">
      <c r="B87" s="95"/>
      <c r="C87" s="95"/>
      <c r="D87" s="95"/>
      <c r="E87" s="95"/>
      <c r="F87" s="95"/>
      <c r="G87" s="95"/>
      <c r="H87" s="95"/>
      <c r="I87" s="95"/>
      <c r="J87" s="96"/>
      <c r="K87" s="105"/>
    </row>
  </sheetData>
  <mergeCells count="71">
    <mergeCell ref="B2:E2"/>
    <mergeCell ref="B4:K4"/>
    <mergeCell ref="B5:D5"/>
    <mergeCell ref="B17:D18"/>
    <mergeCell ref="B23:C23"/>
    <mergeCell ref="D23:G24"/>
    <mergeCell ref="H23:K23"/>
    <mergeCell ref="B24:C24"/>
    <mergeCell ref="B25:K25"/>
    <mergeCell ref="B26:C27"/>
    <mergeCell ref="D26:D27"/>
    <mergeCell ref="E26:F27"/>
    <mergeCell ref="G26:G27"/>
    <mergeCell ref="H26:H27"/>
    <mergeCell ref="I26:I27"/>
    <mergeCell ref="J26:J27"/>
    <mergeCell ref="K26:K27"/>
    <mergeCell ref="B28:B39"/>
    <mergeCell ref="C28:C39"/>
    <mergeCell ref="D28:G29"/>
    <mergeCell ref="H28:H39"/>
    <mergeCell ref="I28:I32"/>
    <mergeCell ref="K28:K39"/>
    <mergeCell ref="E30:F30"/>
    <mergeCell ref="E31:F31"/>
    <mergeCell ref="E32:F32"/>
    <mergeCell ref="E33:F33"/>
    <mergeCell ref="I33:I39"/>
    <mergeCell ref="E34:F34"/>
    <mergeCell ref="E35:F35"/>
    <mergeCell ref="D36:G36"/>
    <mergeCell ref="D39:G39"/>
    <mergeCell ref="J28:J39"/>
    <mergeCell ref="D40:G40"/>
    <mergeCell ref="D41:G41"/>
    <mergeCell ref="D42:G42"/>
    <mergeCell ref="C43:K43"/>
    <mergeCell ref="B44:C45"/>
    <mergeCell ref="D44:D45"/>
    <mergeCell ref="E44:F45"/>
    <mergeCell ref="G44:G45"/>
    <mergeCell ref="H44:H45"/>
    <mergeCell ref="I44:I45"/>
    <mergeCell ref="J44:J45"/>
    <mergeCell ref="K44:K45"/>
    <mergeCell ref="B46:B54"/>
    <mergeCell ref="C46:C54"/>
    <mergeCell ref="E46:F46"/>
    <mergeCell ref="H46:H54"/>
    <mergeCell ref="I46:I47"/>
    <mergeCell ref="J46:J54"/>
    <mergeCell ref="K46:K54"/>
    <mergeCell ref="E47:F47"/>
    <mergeCell ref="E48:F48"/>
    <mergeCell ref="I48:I54"/>
    <mergeCell ref="E49:F49"/>
    <mergeCell ref="E50:F50"/>
    <mergeCell ref="G52:G53"/>
    <mergeCell ref="E53:F53"/>
    <mergeCell ref="D54:G54"/>
    <mergeCell ref="D55:G55"/>
    <mergeCell ref="B56:B60"/>
    <mergeCell ref="C56:C60"/>
    <mergeCell ref="D56:G60"/>
    <mergeCell ref="H56:H60"/>
    <mergeCell ref="J56:J60"/>
    <mergeCell ref="K56:K60"/>
    <mergeCell ref="D61:G61"/>
    <mergeCell ref="D62:G62"/>
    <mergeCell ref="B63:H63"/>
    <mergeCell ref="I56:I60"/>
  </mergeCells>
  <printOptions horizontalCentered="1"/>
  <pageMargins left="0" right="0" top="1" bottom="0.5" header="0.5" footer="0.5"/>
  <pageSetup scale="60" fitToHeight="5" orientation="landscape"/>
  <headerFooter alignWithMargins="0">
    <oddHeader xml:space="preserve">&amp;C&amp;"Arial,Bold"&amp;14
</oddHeader>
    <oddFooter xml:space="preserve">&amp;CTotals may vary due to rounding
</oddFooter>
  </headerFooter>
  <rowBreaks count="2" manualBreakCount="2">
    <brk id="22" min="1" max="12" man="1"/>
    <brk id="43" max="16383" man="1"/>
  </rowBreaks>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FC4BB-8E62-4A5D-9CB3-E9DD9FC3861B}">
  <sheetPr>
    <tabColor rgb="FFFF66FF"/>
  </sheetPr>
  <dimension ref="B2:Q87"/>
  <sheetViews>
    <sheetView showGridLines="0" tabSelected="1" topLeftCell="A52" zoomScale="75" zoomScaleNormal="75" zoomScalePageLayoutView="80" workbookViewId="0">
      <selection activeCell="U60" sqref="U60"/>
    </sheetView>
  </sheetViews>
  <sheetFormatPr defaultRowHeight="12.75" x14ac:dyDescent="0.2"/>
  <cols>
    <col min="2" max="2" width="24.7109375" customWidth="1"/>
    <col min="3" max="3" width="17.85546875" style="80" customWidth="1"/>
    <col min="4" max="4" width="33.140625" customWidth="1"/>
    <col min="5" max="5" width="17.85546875" customWidth="1"/>
    <col min="6" max="6" width="9" customWidth="1"/>
    <col min="7" max="7" width="23.28515625" customWidth="1"/>
    <col min="8" max="8" width="22.42578125" customWidth="1"/>
    <col min="9" max="9" width="31.5703125" style="80" customWidth="1"/>
    <col min="10" max="10" width="13.28515625" style="370" customWidth="1"/>
    <col min="11" max="11" width="16" style="104" customWidth="1"/>
    <col min="14" max="14" width="7.5703125" customWidth="1"/>
    <col min="15" max="15" width="0.5703125" customWidth="1"/>
    <col min="16" max="16" width="11.5703125" bestFit="1" customWidth="1"/>
    <col min="256" max="256" width="24.7109375" customWidth="1"/>
    <col min="257" max="257" width="17.85546875" customWidth="1"/>
    <col min="258" max="258" width="20.7109375" customWidth="1"/>
    <col min="259" max="259" width="16.5703125" customWidth="1"/>
    <col min="260" max="260" width="7.140625" customWidth="1"/>
    <col min="261" max="261" width="15.140625" customWidth="1"/>
    <col min="262" max="262" width="6.28515625" customWidth="1"/>
    <col min="263" max="263" width="19.7109375" customWidth="1"/>
    <col min="264" max="264" width="22.42578125" customWidth="1"/>
    <col min="265" max="265" width="31.5703125" customWidth="1"/>
    <col min="266" max="266" width="10.85546875" customWidth="1"/>
    <col min="267" max="267" width="16" customWidth="1"/>
    <col min="270" max="270" width="7.5703125" customWidth="1"/>
    <col min="271" max="271" width="0.5703125" customWidth="1"/>
    <col min="272" max="272" width="11.5703125" bestFit="1" customWidth="1"/>
    <col min="512" max="512" width="24.7109375" customWidth="1"/>
    <col min="513" max="513" width="17.85546875" customWidth="1"/>
    <col min="514" max="514" width="20.7109375" customWidth="1"/>
    <col min="515" max="515" width="16.5703125" customWidth="1"/>
    <col min="516" max="516" width="7.140625" customWidth="1"/>
    <col min="517" max="517" width="15.140625" customWidth="1"/>
    <col min="518" max="518" width="6.28515625" customWidth="1"/>
    <col min="519" max="519" width="19.7109375" customWidth="1"/>
    <col min="520" max="520" width="22.42578125" customWidth="1"/>
    <col min="521" max="521" width="31.5703125" customWidth="1"/>
    <col min="522" max="522" width="10.85546875" customWidth="1"/>
    <col min="523" max="523" width="16" customWidth="1"/>
    <col min="526" max="526" width="7.5703125" customWidth="1"/>
    <col min="527" max="527" width="0.5703125" customWidth="1"/>
    <col min="528" max="528" width="11.5703125" bestFit="1" customWidth="1"/>
    <col min="768" max="768" width="24.7109375" customWidth="1"/>
    <col min="769" max="769" width="17.85546875" customWidth="1"/>
    <col min="770" max="770" width="20.7109375" customWidth="1"/>
    <col min="771" max="771" width="16.5703125" customWidth="1"/>
    <col min="772" max="772" width="7.140625" customWidth="1"/>
    <col min="773" max="773" width="15.140625" customWidth="1"/>
    <col min="774" max="774" width="6.28515625" customWidth="1"/>
    <col min="775" max="775" width="19.7109375" customWidth="1"/>
    <col min="776" max="776" width="22.42578125" customWidth="1"/>
    <col min="777" max="777" width="31.5703125" customWidth="1"/>
    <col min="778" max="778" width="10.85546875" customWidth="1"/>
    <col min="779" max="779" width="16" customWidth="1"/>
    <col min="782" max="782" width="7.5703125" customWidth="1"/>
    <col min="783" max="783" width="0.5703125" customWidth="1"/>
    <col min="784" max="784" width="11.5703125" bestFit="1" customWidth="1"/>
    <col min="1024" max="1024" width="24.7109375" customWidth="1"/>
    <col min="1025" max="1025" width="17.85546875" customWidth="1"/>
    <col min="1026" max="1026" width="20.7109375" customWidth="1"/>
    <col min="1027" max="1027" width="16.5703125" customWidth="1"/>
    <col min="1028" max="1028" width="7.140625" customWidth="1"/>
    <col min="1029" max="1029" width="15.140625" customWidth="1"/>
    <col min="1030" max="1030" width="6.28515625" customWidth="1"/>
    <col min="1031" max="1031" width="19.7109375" customWidth="1"/>
    <col min="1032" max="1032" width="22.42578125" customWidth="1"/>
    <col min="1033" max="1033" width="31.5703125" customWidth="1"/>
    <col min="1034" max="1034" width="10.85546875" customWidth="1"/>
    <col min="1035" max="1035" width="16" customWidth="1"/>
    <col min="1038" max="1038" width="7.5703125" customWidth="1"/>
    <col min="1039" max="1039" width="0.5703125" customWidth="1"/>
    <col min="1040" max="1040" width="11.5703125" bestFit="1" customWidth="1"/>
    <col min="1280" max="1280" width="24.7109375" customWidth="1"/>
    <col min="1281" max="1281" width="17.85546875" customWidth="1"/>
    <col min="1282" max="1282" width="20.7109375" customWidth="1"/>
    <col min="1283" max="1283" width="16.5703125" customWidth="1"/>
    <col min="1284" max="1284" width="7.140625" customWidth="1"/>
    <col min="1285" max="1285" width="15.140625" customWidth="1"/>
    <col min="1286" max="1286" width="6.28515625" customWidth="1"/>
    <col min="1287" max="1287" width="19.7109375" customWidth="1"/>
    <col min="1288" max="1288" width="22.42578125" customWidth="1"/>
    <col min="1289" max="1289" width="31.5703125" customWidth="1"/>
    <col min="1290" max="1290" width="10.85546875" customWidth="1"/>
    <col min="1291" max="1291" width="16" customWidth="1"/>
    <col min="1294" max="1294" width="7.5703125" customWidth="1"/>
    <col min="1295" max="1295" width="0.5703125" customWidth="1"/>
    <col min="1296" max="1296" width="11.5703125" bestFit="1" customWidth="1"/>
    <col min="1536" max="1536" width="24.7109375" customWidth="1"/>
    <col min="1537" max="1537" width="17.85546875" customWidth="1"/>
    <col min="1538" max="1538" width="20.7109375" customWidth="1"/>
    <col min="1539" max="1539" width="16.5703125" customWidth="1"/>
    <col min="1540" max="1540" width="7.140625" customWidth="1"/>
    <col min="1541" max="1541" width="15.140625" customWidth="1"/>
    <col min="1542" max="1542" width="6.28515625" customWidth="1"/>
    <col min="1543" max="1543" width="19.7109375" customWidth="1"/>
    <col min="1544" max="1544" width="22.42578125" customWidth="1"/>
    <col min="1545" max="1545" width="31.5703125" customWidth="1"/>
    <col min="1546" max="1546" width="10.85546875" customWidth="1"/>
    <col min="1547" max="1547" width="16" customWidth="1"/>
    <col min="1550" max="1550" width="7.5703125" customWidth="1"/>
    <col min="1551" max="1551" width="0.5703125" customWidth="1"/>
    <col min="1552" max="1552" width="11.5703125" bestFit="1" customWidth="1"/>
    <col min="1792" max="1792" width="24.7109375" customWidth="1"/>
    <col min="1793" max="1793" width="17.85546875" customWidth="1"/>
    <col min="1794" max="1794" width="20.7109375" customWidth="1"/>
    <col min="1795" max="1795" width="16.5703125" customWidth="1"/>
    <col min="1796" max="1796" width="7.140625" customWidth="1"/>
    <col min="1797" max="1797" width="15.140625" customWidth="1"/>
    <col min="1798" max="1798" width="6.28515625" customWidth="1"/>
    <col min="1799" max="1799" width="19.7109375" customWidth="1"/>
    <col min="1800" max="1800" width="22.42578125" customWidth="1"/>
    <col min="1801" max="1801" width="31.5703125" customWidth="1"/>
    <col min="1802" max="1802" width="10.85546875" customWidth="1"/>
    <col min="1803" max="1803" width="16" customWidth="1"/>
    <col min="1806" max="1806" width="7.5703125" customWidth="1"/>
    <col min="1807" max="1807" width="0.5703125" customWidth="1"/>
    <col min="1808" max="1808" width="11.5703125" bestFit="1" customWidth="1"/>
    <col min="2048" max="2048" width="24.7109375" customWidth="1"/>
    <col min="2049" max="2049" width="17.85546875" customWidth="1"/>
    <col min="2050" max="2050" width="20.7109375" customWidth="1"/>
    <col min="2051" max="2051" width="16.5703125" customWidth="1"/>
    <col min="2052" max="2052" width="7.140625" customWidth="1"/>
    <col min="2053" max="2053" width="15.140625" customWidth="1"/>
    <col min="2054" max="2054" width="6.28515625" customWidth="1"/>
    <col min="2055" max="2055" width="19.7109375" customWidth="1"/>
    <col min="2056" max="2056" width="22.42578125" customWidth="1"/>
    <col min="2057" max="2057" width="31.5703125" customWidth="1"/>
    <col min="2058" max="2058" width="10.85546875" customWidth="1"/>
    <col min="2059" max="2059" width="16" customWidth="1"/>
    <col min="2062" max="2062" width="7.5703125" customWidth="1"/>
    <col min="2063" max="2063" width="0.5703125" customWidth="1"/>
    <col min="2064" max="2064" width="11.5703125" bestFit="1" customWidth="1"/>
    <col min="2304" max="2304" width="24.7109375" customWidth="1"/>
    <col min="2305" max="2305" width="17.85546875" customWidth="1"/>
    <col min="2306" max="2306" width="20.7109375" customWidth="1"/>
    <col min="2307" max="2307" width="16.5703125" customWidth="1"/>
    <col min="2308" max="2308" width="7.140625" customWidth="1"/>
    <col min="2309" max="2309" width="15.140625" customWidth="1"/>
    <col min="2310" max="2310" width="6.28515625" customWidth="1"/>
    <col min="2311" max="2311" width="19.7109375" customWidth="1"/>
    <col min="2312" max="2312" width="22.42578125" customWidth="1"/>
    <col min="2313" max="2313" width="31.5703125" customWidth="1"/>
    <col min="2314" max="2314" width="10.85546875" customWidth="1"/>
    <col min="2315" max="2315" width="16" customWidth="1"/>
    <col min="2318" max="2318" width="7.5703125" customWidth="1"/>
    <col min="2319" max="2319" width="0.5703125" customWidth="1"/>
    <col min="2320" max="2320" width="11.5703125" bestFit="1" customWidth="1"/>
    <col min="2560" max="2560" width="24.7109375" customWidth="1"/>
    <col min="2561" max="2561" width="17.85546875" customWidth="1"/>
    <col min="2562" max="2562" width="20.7109375" customWidth="1"/>
    <col min="2563" max="2563" width="16.5703125" customWidth="1"/>
    <col min="2564" max="2564" width="7.140625" customWidth="1"/>
    <col min="2565" max="2565" width="15.140625" customWidth="1"/>
    <col min="2566" max="2566" width="6.28515625" customWidth="1"/>
    <col min="2567" max="2567" width="19.7109375" customWidth="1"/>
    <col min="2568" max="2568" width="22.42578125" customWidth="1"/>
    <col min="2569" max="2569" width="31.5703125" customWidth="1"/>
    <col min="2570" max="2570" width="10.85546875" customWidth="1"/>
    <col min="2571" max="2571" width="16" customWidth="1"/>
    <col min="2574" max="2574" width="7.5703125" customWidth="1"/>
    <col min="2575" max="2575" width="0.5703125" customWidth="1"/>
    <col min="2576" max="2576" width="11.5703125" bestFit="1" customWidth="1"/>
    <col min="2816" max="2816" width="24.7109375" customWidth="1"/>
    <col min="2817" max="2817" width="17.85546875" customWidth="1"/>
    <col min="2818" max="2818" width="20.7109375" customWidth="1"/>
    <col min="2819" max="2819" width="16.5703125" customWidth="1"/>
    <col min="2820" max="2820" width="7.140625" customWidth="1"/>
    <col min="2821" max="2821" width="15.140625" customWidth="1"/>
    <col min="2822" max="2822" width="6.28515625" customWidth="1"/>
    <col min="2823" max="2823" width="19.7109375" customWidth="1"/>
    <col min="2824" max="2824" width="22.42578125" customWidth="1"/>
    <col min="2825" max="2825" width="31.5703125" customWidth="1"/>
    <col min="2826" max="2826" width="10.85546875" customWidth="1"/>
    <col min="2827" max="2827" width="16" customWidth="1"/>
    <col min="2830" max="2830" width="7.5703125" customWidth="1"/>
    <col min="2831" max="2831" width="0.5703125" customWidth="1"/>
    <col min="2832" max="2832" width="11.5703125" bestFit="1" customWidth="1"/>
    <col min="3072" max="3072" width="24.7109375" customWidth="1"/>
    <col min="3073" max="3073" width="17.85546875" customWidth="1"/>
    <col min="3074" max="3074" width="20.7109375" customWidth="1"/>
    <col min="3075" max="3075" width="16.5703125" customWidth="1"/>
    <col min="3076" max="3076" width="7.140625" customWidth="1"/>
    <col min="3077" max="3077" width="15.140625" customWidth="1"/>
    <col min="3078" max="3078" width="6.28515625" customWidth="1"/>
    <col min="3079" max="3079" width="19.7109375" customWidth="1"/>
    <col min="3080" max="3080" width="22.42578125" customWidth="1"/>
    <col min="3081" max="3081" width="31.5703125" customWidth="1"/>
    <col min="3082" max="3082" width="10.85546875" customWidth="1"/>
    <col min="3083" max="3083" width="16" customWidth="1"/>
    <col min="3086" max="3086" width="7.5703125" customWidth="1"/>
    <col min="3087" max="3087" width="0.5703125" customWidth="1"/>
    <col min="3088" max="3088" width="11.5703125" bestFit="1" customWidth="1"/>
    <col min="3328" max="3328" width="24.7109375" customWidth="1"/>
    <col min="3329" max="3329" width="17.85546875" customWidth="1"/>
    <col min="3330" max="3330" width="20.7109375" customWidth="1"/>
    <col min="3331" max="3331" width="16.5703125" customWidth="1"/>
    <col min="3332" max="3332" width="7.140625" customWidth="1"/>
    <col min="3333" max="3333" width="15.140625" customWidth="1"/>
    <col min="3334" max="3334" width="6.28515625" customWidth="1"/>
    <col min="3335" max="3335" width="19.7109375" customWidth="1"/>
    <col min="3336" max="3336" width="22.42578125" customWidth="1"/>
    <col min="3337" max="3337" width="31.5703125" customWidth="1"/>
    <col min="3338" max="3338" width="10.85546875" customWidth="1"/>
    <col min="3339" max="3339" width="16" customWidth="1"/>
    <col min="3342" max="3342" width="7.5703125" customWidth="1"/>
    <col min="3343" max="3343" width="0.5703125" customWidth="1"/>
    <col min="3344" max="3344" width="11.5703125" bestFit="1" customWidth="1"/>
    <col min="3584" max="3584" width="24.7109375" customWidth="1"/>
    <col min="3585" max="3585" width="17.85546875" customWidth="1"/>
    <col min="3586" max="3586" width="20.7109375" customWidth="1"/>
    <col min="3587" max="3587" width="16.5703125" customWidth="1"/>
    <col min="3588" max="3588" width="7.140625" customWidth="1"/>
    <col min="3589" max="3589" width="15.140625" customWidth="1"/>
    <col min="3590" max="3590" width="6.28515625" customWidth="1"/>
    <col min="3591" max="3591" width="19.7109375" customWidth="1"/>
    <col min="3592" max="3592" width="22.42578125" customWidth="1"/>
    <col min="3593" max="3593" width="31.5703125" customWidth="1"/>
    <col min="3594" max="3594" width="10.85546875" customWidth="1"/>
    <col min="3595" max="3595" width="16" customWidth="1"/>
    <col min="3598" max="3598" width="7.5703125" customWidth="1"/>
    <col min="3599" max="3599" width="0.5703125" customWidth="1"/>
    <col min="3600" max="3600" width="11.5703125" bestFit="1" customWidth="1"/>
    <col min="3840" max="3840" width="24.7109375" customWidth="1"/>
    <col min="3841" max="3841" width="17.85546875" customWidth="1"/>
    <col min="3842" max="3842" width="20.7109375" customWidth="1"/>
    <col min="3843" max="3843" width="16.5703125" customWidth="1"/>
    <col min="3844" max="3844" width="7.140625" customWidth="1"/>
    <col min="3845" max="3845" width="15.140625" customWidth="1"/>
    <col min="3846" max="3846" width="6.28515625" customWidth="1"/>
    <col min="3847" max="3847" width="19.7109375" customWidth="1"/>
    <col min="3848" max="3848" width="22.42578125" customWidth="1"/>
    <col min="3849" max="3849" width="31.5703125" customWidth="1"/>
    <col min="3850" max="3850" width="10.85546875" customWidth="1"/>
    <col min="3851" max="3851" width="16" customWidth="1"/>
    <col min="3854" max="3854" width="7.5703125" customWidth="1"/>
    <col min="3855" max="3855" width="0.5703125" customWidth="1"/>
    <col min="3856" max="3856" width="11.5703125" bestFit="1" customWidth="1"/>
    <col min="4096" max="4096" width="24.7109375" customWidth="1"/>
    <col min="4097" max="4097" width="17.85546875" customWidth="1"/>
    <col min="4098" max="4098" width="20.7109375" customWidth="1"/>
    <col min="4099" max="4099" width="16.5703125" customWidth="1"/>
    <col min="4100" max="4100" width="7.140625" customWidth="1"/>
    <col min="4101" max="4101" width="15.140625" customWidth="1"/>
    <col min="4102" max="4102" width="6.28515625" customWidth="1"/>
    <col min="4103" max="4103" width="19.7109375" customWidth="1"/>
    <col min="4104" max="4104" width="22.42578125" customWidth="1"/>
    <col min="4105" max="4105" width="31.5703125" customWidth="1"/>
    <col min="4106" max="4106" width="10.85546875" customWidth="1"/>
    <col min="4107" max="4107" width="16" customWidth="1"/>
    <col min="4110" max="4110" width="7.5703125" customWidth="1"/>
    <col min="4111" max="4111" width="0.5703125" customWidth="1"/>
    <col min="4112" max="4112" width="11.5703125" bestFit="1" customWidth="1"/>
    <col min="4352" max="4352" width="24.7109375" customWidth="1"/>
    <col min="4353" max="4353" width="17.85546875" customWidth="1"/>
    <col min="4354" max="4354" width="20.7109375" customWidth="1"/>
    <col min="4355" max="4355" width="16.5703125" customWidth="1"/>
    <col min="4356" max="4356" width="7.140625" customWidth="1"/>
    <col min="4357" max="4357" width="15.140625" customWidth="1"/>
    <col min="4358" max="4358" width="6.28515625" customWidth="1"/>
    <col min="4359" max="4359" width="19.7109375" customWidth="1"/>
    <col min="4360" max="4360" width="22.42578125" customWidth="1"/>
    <col min="4361" max="4361" width="31.5703125" customWidth="1"/>
    <col min="4362" max="4362" width="10.85546875" customWidth="1"/>
    <col min="4363" max="4363" width="16" customWidth="1"/>
    <col min="4366" max="4366" width="7.5703125" customWidth="1"/>
    <col min="4367" max="4367" width="0.5703125" customWidth="1"/>
    <col min="4368" max="4368" width="11.5703125" bestFit="1" customWidth="1"/>
    <col min="4608" max="4608" width="24.7109375" customWidth="1"/>
    <col min="4609" max="4609" width="17.85546875" customWidth="1"/>
    <col min="4610" max="4610" width="20.7109375" customWidth="1"/>
    <col min="4611" max="4611" width="16.5703125" customWidth="1"/>
    <col min="4612" max="4612" width="7.140625" customWidth="1"/>
    <col min="4613" max="4613" width="15.140625" customWidth="1"/>
    <col min="4614" max="4614" width="6.28515625" customWidth="1"/>
    <col min="4615" max="4615" width="19.7109375" customWidth="1"/>
    <col min="4616" max="4616" width="22.42578125" customWidth="1"/>
    <col min="4617" max="4617" width="31.5703125" customWidth="1"/>
    <col min="4618" max="4618" width="10.85546875" customWidth="1"/>
    <col min="4619" max="4619" width="16" customWidth="1"/>
    <col min="4622" max="4622" width="7.5703125" customWidth="1"/>
    <col min="4623" max="4623" width="0.5703125" customWidth="1"/>
    <col min="4624" max="4624" width="11.5703125" bestFit="1" customWidth="1"/>
    <col min="4864" max="4864" width="24.7109375" customWidth="1"/>
    <col min="4865" max="4865" width="17.85546875" customWidth="1"/>
    <col min="4866" max="4866" width="20.7109375" customWidth="1"/>
    <col min="4867" max="4867" width="16.5703125" customWidth="1"/>
    <col min="4868" max="4868" width="7.140625" customWidth="1"/>
    <col min="4869" max="4869" width="15.140625" customWidth="1"/>
    <col min="4870" max="4870" width="6.28515625" customWidth="1"/>
    <col min="4871" max="4871" width="19.7109375" customWidth="1"/>
    <col min="4872" max="4872" width="22.42578125" customWidth="1"/>
    <col min="4873" max="4873" width="31.5703125" customWidth="1"/>
    <col min="4874" max="4874" width="10.85546875" customWidth="1"/>
    <col min="4875" max="4875" width="16" customWidth="1"/>
    <col min="4878" max="4878" width="7.5703125" customWidth="1"/>
    <col min="4879" max="4879" width="0.5703125" customWidth="1"/>
    <col min="4880" max="4880" width="11.5703125" bestFit="1" customWidth="1"/>
    <col min="5120" max="5120" width="24.7109375" customWidth="1"/>
    <col min="5121" max="5121" width="17.85546875" customWidth="1"/>
    <col min="5122" max="5122" width="20.7109375" customWidth="1"/>
    <col min="5123" max="5123" width="16.5703125" customWidth="1"/>
    <col min="5124" max="5124" width="7.140625" customWidth="1"/>
    <col min="5125" max="5125" width="15.140625" customWidth="1"/>
    <col min="5126" max="5126" width="6.28515625" customWidth="1"/>
    <col min="5127" max="5127" width="19.7109375" customWidth="1"/>
    <col min="5128" max="5128" width="22.42578125" customWidth="1"/>
    <col min="5129" max="5129" width="31.5703125" customWidth="1"/>
    <col min="5130" max="5130" width="10.85546875" customWidth="1"/>
    <col min="5131" max="5131" width="16" customWidth="1"/>
    <col min="5134" max="5134" width="7.5703125" customWidth="1"/>
    <col min="5135" max="5135" width="0.5703125" customWidth="1"/>
    <col min="5136" max="5136" width="11.5703125" bestFit="1" customWidth="1"/>
    <col min="5376" max="5376" width="24.7109375" customWidth="1"/>
    <col min="5377" max="5377" width="17.85546875" customWidth="1"/>
    <col min="5378" max="5378" width="20.7109375" customWidth="1"/>
    <col min="5379" max="5379" width="16.5703125" customWidth="1"/>
    <col min="5380" max="5380" width="7.140625" customWidth="1"/>
    <col min="5381" max="5381" width="15.140625" customWidth="1"/>
    <col min="5382" max="5382" width="6.28515625" customWidth="1"/>
    <col min="5383" max="5383" width="19.7109375" customWidth="1"/>
    <col min="5384" max="5384" width="22.42578125" customWidth="1"/>
    <col min="5385" max="5385" width="31.5703125" customWidth="1"/>
    <col min="5386" max="5386" width="10.85546875" customWidth="1"/>
    <col min="5387" max="5387" width="16" customWidth="1"/>
    <col min="5390" max="5390" width="7.5703125" customWidth="1"/>
    <col min="5391" max="5391" width="0.5703125" customWidth="1"/>
    <col min="5392" max="5392" width="11.5703125" bestFit="1" customWidth="1"/>
    <col min="5632" max="5632" width="24.7109375" customWidth="1"/>
    <col min="5633" max="5633" width="17.85546875" customWidth="1"/>
    <col min="5634" max="5634" width="20.7109375" customWidth="1"/>
    <col min="5635" max="5635" width="16.5703125" customWidth="1"/>
    <col min="5636" max="5636" width="7.140625" customWidth="1"/>
    <col min="5637" max="5637" width="15.140625" customWidth="1"/>
    <col min="5638" max="5638" width="6.28515625" customWidth="1"/>
    <col min="5639" max="5639" width="19.7109375" customWidth="1"/>
    <col min="5640" max="5640" width="22.42578125" customWidth="1"/>
    <col min="5641" max="5641" width="31.5703125" customWidth="1"/>
    <col min="5642" max="5642" width="10.85546875" customWidth="1"/>
    <col min="5643" max="5643" width="16" customWidth="1"/>
    <col min="5646" max="5646" width="7.5703125" customWidth="1"/>
    <col min="5647" max="5647" width="0.5703125" customWidth="1"/>
    <col min="5648" max="5648" width="11.5703125" bestFit="1" customWidth="1"/>
    <col min="5888" max="5888" width="24.7109375" customWidth="1"/>
    <col min="5889" max="5889" width="17.85546875" customWidth="1"/>
    <col min="5890" max="5890" width="20.7109375" customWidth="1"/>
    <col min="5891" max="5891" width="16.5703125" customWidth="1"/>
    <col min="5892" max="5892" width="7.140625" customWidth="1"/>
    <col min="5893" max="5893" width="15.140625" customWidth="1"/>
    <col min="5894" max="5894" width="6.28515625" customWidth="1"/>
    <col min="5895" max="5895" width="19.7109375" customWidth="1"/>
    <col min="5896" max="5896" width="22.42578125" customWidth="1"/>
    <col min="5897" max="5897" width="31.5703125" customWidth="1"/>
    <col min="5898" max="5898" width="10.85546875" customWidth="1"/>
    <col min="5899" max="5899" width="16" customWidth="1"/>
    <col min="5902" max="5902" width="7.5703125" customWidth="1"/>
    <col min="5903" max="5903" width="0.5703125" customWidth="1"/>
    <col min="5904" max="5904" width="11.5703125" bestFit="1" customWidth="1"/>
    <col min="6144" max="6144" width="24.7109375" customWidth="1"/>
    <col min="6145" max="6145" width="17.85546875" customWidth="1"/>
    <col min="6146" max="6146" width="20.7109375" customWidth="1"/>
    <col min="6147" max="6147" width="16.5703125" customWidth="1"/>
    <col min="6148" max="6148" width="7.140625" customWidth="1"/>
    <col min="6149" max="6149" width="15.140625" customWidth="1"/>
    <col min="6150" max="6150" width="6.28515625" customWidth="1"/>
    <col min="6151" max="6151" width="19.7109375" customWidth="1"/>
    <col min="6152" max="6152" width="22.42578125" customWidth="1"/>
    <col min="6153" max="6153" width="31.5703125" customWidth="1"/>
    <col min="6154" max="6154" width="10.85546875" customWidth="1"/>
    <col min="6155" max="6155" width="16" customWidth="1"/>
    <col min="6158" max="6158" width="7.5703125" customWidth="1"/>
    <col min="6159" max="6159" width="0.5703125" customWidth="1"/>
    <col min="6160" max="6160" width="11.5703125" bestFit="1" customWidth="1"/>
    <col min="6400" max="6400" width="24.7109375" customWidth="1"/>
    <col min="6401" max="6401" width="17.85546875" customWidth="1"/>
    <col min="6402" max="6402" width="20.7109375" customWidth="1"/>
    <col min="6403" max="6403" width="16.5703125" customWidth="1"/>
    <col min="6404" max="6404" width="7.140625" customWidth="1"/>
    <col min="6405" max="6405" width="15.140625" customWidth="1"/>
    <col min="6406" max="6406" width="6.28515625" customWidth="1"/>
    <col min="6407" max="6407" width="19.7109375" customWidth="1"/>
    <col min="6408" max="6408" width="22.42578125" customWidth="1"/>
    <col min="6409" max="6409" width="31.5703125" customWidth="1"/>
    <col min="6410" max="6410" width="10.85546875" customWidth="1"/>
    <col min="6411" max="6411" width="16" customWidth="1"/>
    <col min="6414" max="6414" width="7.5703125" customWidth="1"/>
    <col min="6415" max="6415" width="0.5703125" customWidth="1"/>
    <col min="6416" max="6416" width="11.5703125" bestFit="1" customWidth="1"/>
    <col min="6656" max="6656" width="24.7109375" customWidth="1"/>
    <col min="6657" max="6657" width="17.85546875" customWidth="1"/>
    <col min="6658" max="6658" width="20.7109375" customWidth="1"/>
    <col min="6659" max="6659" width="16.5703125" customWidth="1"/>
    <col min="6660" max="6660" width="7.140625" customWidth="1"/>
    <col min="6661" max="6661" width="15.140625" customWidth="1"/>
    <col min="6662" max="6662" width="6.28515625" customWidth="1"/>
    <col min="6663" max="6663" width="19.7109375" customWidth="1"/>
    <col min="6664" max="6664" width="22.42578125" customWidth="1"/>
    <col min="6665" max="6665" width="31.5703125" customWidth="1"/>
    <col min="6666" max="6666" width="10.85546875" customWidth="1"/>
    <col min="6667" max="6667" width="16" customWidth="1"/>
    <col min="6670" max="6670" width="7.5703125" customWidth="1"/>
    <col min="6671" max="6671" width="0.5703125" customWidth="1"/>
    <col min="6672" max="6672" width="11.5703125" bestFit="1" customWidth="1"/>
    <col min="6912" max="6912" width="24.7109375" customWidth="1"/>
    <col min="6913" max="6913" width="17.85546875" customWidth="1"/>
    <col min="6914" max="6914" width="20.7109375" customWidth="1"/>
    <col min="6915" max="6915" width="16.5703125" customWidth="1"/>
    <col min="6916" max="6916" width="7.140625" customWidth="1"/>
    <col min="6917" max="6917" width="15.140625" customWidth="1"/>
    <col min="6918" max="6918" width="6.28515625" customWidth="1"/>
    <col min="6919" max="6919" width="19.7109375" customWidth="1"/>
    <col min="6920" max="6920" width="22.42578125" customWidth="1"/>
    <col min="6921" max="6921" width="31.5703125" customWidth="1"/>
    <col min="6922" max="6922" width="10.85546875" customWidth="1"/>
    <col min="6923" max="6923" width="16" customWidth="1"/>
    <col min="6926" max="6926" width="7.5703125" customWidth="1"/>
    <col min="6927" max="6927" width="0.5703125" customWidth="1"/>
    <col min="6928" max="6928" width="11.5703125" bestFit="1" customWidth="1"/>
    <col min="7168" max="7168" width="24.7109375" customWidth="1"/>
    <col min="7169" max="7169" width="17.85546875" customWidth="1"/>
    <col min="7170" max="7170" width="20.7109375" customWidth="1"/>
    <col min="7171" max="7171" width="16.5703125" customWidth="1"/>
    <col min="7172" max="7172" width="7.140625" customWidth="1"/>
    <col min="7173" max="7173" width="15.140625" customWidth="1"/>
    <col min="7174" max="7174" width="6.28515625" customWidth="1"/>
    <col min="7175" max="7175" width="19.7109375" customWidth="1"/>
    <col min="7176" max="7176" width="22.42578125" customWidth="1"/>
    <col min="7177" max="7177" width="31.5703125" customWidth="1"/>
    <col min="7178" max="7178" width="10.85546875" customWidth="1"/>
    <col min="7179" max="7179" width="16" customWidth="1"/>
    <col min="7182" max="7182" width="7.5703125" customWidth="1"/>
    <col min="7183" max="7183" width="0.5703125" customWidth="1"/>
    <col min="7184" max="7184" width="11.5703125" bestFit="1" customWidth="1"/>
    <col min="7424" max="7424" width="24.7109375" customWidth="1"/>
    <col min="7425" max="7425" width="17.85546875" customWidth="1"/>
    <col min="7426" max="7426" width="20.7109375" customWidth="1"/>
    <col min="7427" max="7427" width="16.5703125" customWidth="1"/>
    <col min="7428" max="7428" width="7.140625" customWidth="1"/>
    <col min="7429" max="7429" width="15.140625" customWidth="1"/>
    <col min="7430" max="7430" width="6.28515625" customWidth="1"/>
    <col min="7431" max="7431" width="19.7109375" customWidth="1"/>
    <col min="7432" max="7432" width="22.42578125" customWidth="1"/>
    <col min="7433" max="7433" width="31.5703125" customWidth="1"/>
    <col min="7434" max="7434" width="10.85546875" customWidth="1"/>
    <col min="7435" max="7435" width="16" customWidth="1"/>
    <col min="7438" max="7438" width="7.5703125" customWidth="1"/>
    <col min="7439" max="7439" width="0.5703125" customWidth="1"/>
    <col min="7440" max="7440" width="11.5703125" bestFit="1" customWidth="1"/>
    <col min="7680" max="7680" width="24.7109375" customWidth="1"/>
    <col min="7681" max="7681" width="17.85546875" customWidth="1"/>
    <col min="7682" max="7682" width="20.7109375" customWidth="1"/>
    <col min="7683" max="7683" width="16.5703125" customWidth="1"/>
    <col min="7684" max="7684" width="7.140625" customWidth="1"/>
    <col min="7685" max="7685" width="15.140625" customWidth="1"/>
    <col min="7686" max="7686" width="6.28515625" customWidth="1"/>
    <col min="7687" max="7687" width="19.7109375" customWidth="1"/>
    <col min="7688" max="7688" width="22.42578125" customWidth="1"/>
    <col min="7689" max="7689" width="31.5703125" customWidth="1"/>
    <col min="7690" max="7690" width="10.85546875" customWidth="1"/>
    <col min="7691" max="7691" width="16" customWidth="1"/>
    <col min="7694" max="7694" width="7.5703125" customWidth="1"/>
    <col min="7695" max="7695" width="0.5703125" customWidth="1"/>
    <col min="7696" max="7696" width="11.5703125" bestFit="1" customWidth="1"/>
    <col min="7936" max="7936" width="24.7109375" customWidth="1"/>
    <col min="7937" max="7937" width="17.85546875" customWidth="1"/>
    <col min="7938" max="7938" width="20.7109375" customWidth="1"/>
    <col min="7939" max="7939" width="16.5703125" customWidth="1"/>
    <col min="7940" max="7940" width="7.140625" customWidth="1"/>
    <col min="7941" max="7941" width="15.140625" customWidth="1"/>
    <col min="7942" max="7942" width="6.28515625" customWidth="1"/>
    <col min="7943" max="7943" width="19.7109375" customWidth="1"/>
    <col min="7944" max="7944" width="22.42578125" customWidth="1"/>
    <col min="7945" max="7945" width="31.5703125" customWidth="1"/>
    <col min="7946" max="7946" width="10.85546875" customWidth="1"/>
    <col min="7947" max="7947" width="16" customWidth="1"/>
    <col min="7950" max="7950" width="7.5703125" customWidth="1"/>
    <col min="7951" max="7951" width="0.5703125" customWidth="1"/>
    <col min="7952" max="7952" width="11.5703125" bestFit="1" customWidth="1"/>
    <col min="8192" max="8192" width="24.7109375" customWidth="1"/>
    <col min="8193" max="8193" width="17.85546875" customWidth="1"/>
    <col min="8194" max="8194" width="20.7109375" customWidth="1"/>
    <col min="8195" max="8195" width="16.5703125" customWidth="1"/>
    <col min="8196" max="8196" width="7.140625" customWidth="1"/>
    <col min="8197" max="8197" width="15.140625" customWidth="1"/>
    <col min="8198" max="8198" width="6.28515625" customWidth="1"/>
    <col min="8199" max="8199" width="19.7109375" customWidth="1"/>
    <col min="8200" max="8200" width="22.42578125" customWidth="1"/>
    <col min="8201" max="8201" width="31.5703125" customWidth="1"/>
    <col min="8202" max="8202" width="10.85546875" customWidth="1"/>
    <col min="8203" max="8203" width="16" customWidth="1"/>
    <col min="8206" max="8206" width="7.5703125" customWidth="1"/>
    <col min="8207" max="8207" width="0.5703125" customWidth="1"/>
    <col min="8208" max="8208" width="11.5703125" bestFit="1" customWidth="1"/>
    <col min="8448" max="8448" width="24.7109375" customWidth="1"/>
    <col min="8449" max="8449" width="17.85546875" customWidth="1"/>
    <col min="8450" max="8450" width="20.7109375" customWidth="1"/>
    <col min="8451" max="8451" width="16.5703125" customWidth="1"/>
    <col min="8452" max="8452" width="7.140625" customWidth="1"/>
    <col min="8453" max="8453" width="15.140625" customWidth="1"/>
    <col min="8454" max="8454" width="6.28515625" customWidth="1"/>
    <col min="8455" max="8455" width="19.7109375" customWidth="1"/>
    <col min="8456" max="8456" width="22.42578125" customWidth="1"/>
    <col min="8457" max="8457" width="31.5703125" customWidth="1"/>
    <col min="8458" max="8458" width="10.85546875" customWidth="1"/>
    <col min="8459" max="8459" width="16" customWidth="1"/>
    <col min="8462" max="8462" width="7.5703125" customWidth="1"/>
    <col min="8463" max="8463" width="0.5703125" customWidth="1"/>
    <col min="8464" max="8464" width="11.5703125" bestFit="1" customWidth="1"/>
    <col min="8704" max="8704" width="24.7109375" customWidth="1"/>
    <col min="8705" max="8705" width="17.85546875" customWidth="1"/>
    <col min="8706" max="8706" width="20.7109375" customWidth="1"/>
    <col min="8707" max="8707" width="16.5703125" customWidth="1"/>
    <col min="8708" max="8708" width="7.140625" customWidth="1"/>
    <col min="8709" max="8709" width="15.140625" customWidth="1"/>
    <col min="8710" max="8710" width="6.28515625" customWidth="1"/>
    <col min="8711" max="8711" width="19.7109375" customWidth="1"/>
    <col min="8712" max="8712" width="22.42578125" customWidth="1"/>
    <col min="8713" max="8713" width="31.5703125" customWidth="1"/>
    <col min="8714" max="8714" width="10.85546875" customWidth="1"/>
    <col min="8715" max="8715" width="16" customWidth="1"/>
    <col min="8718" max="8718" width="7.5703125" customWidth="1"/>
    <col min="8719" max="8719" width="0.5703125" customWidth="1"/>
    <col min="8720" max="8720" width="11.5703125" bestFit="1" customWidth="1"/>
    <col min="8960" max="8960" width="24.7109375" customWidth="1"/>
    <col min="8961" max="8961" width="17.85546875" customWidth="1"/>
    <col min="8962" max="8962" width="20.7109375" customWidth="1"/>
    <col min="8963" max="8963" width="16.5703125" customWidth="1"/>
    <col min="8964" max="8964" width="7.140625" customWidth="1"/>
    <col min="8965" max="8965" width="15.140625" customWidth="1"/>
    <col min="8966" max="8966" width="6.28515625" customWidth="1"/>
    <col min="8967" max="8967" width="19.7109375" customWidth="1"/>
    <col min="8968" max="8968" width="22.42578125" customWidth="1"/>
    <col min="8969" max="8969" width="31.5703125" customWidth="1"/>
    <col min="8970" max="8970" width="10.85546875" customWidth="1"/>
    <col min="8971" max="8971" width="16" customWidth="1"/>
    <col min="8974" max="8974" width="7.5703125" customWidth="1"/>
    <col min="8975" max="8975" width="0.5703125" customWidth="1"/>
    <col min="8976" max="8976" width="11.5703125" bestFit="1" customWidth="1"/>
    <col min="9216" max="9216" width="24.7109375" customWidth="1"/>
    <col min="9217" max="9217" width="17.85546875" customWidth="1"/>
    <col min="9218" max="9218" width="20.7109375" customWidth="1"/>
    <col min="9219" max="9219" width="16.5703125" customWidth="1"/>
    <col min="9220" max="9220" width="7.140625" customWidth="1"/>
    <col min="9221" max="9221" width="15.140625" customWidth="1"/>
    <col min="9222" max="9222" width="6.28515625" customWidth="1"/>
    <col min="9223" max="9223" width="19.7109375" customWidth="1"/>
    <col min="9224" max="9224" width="22.42578125" customWidth="1"/>
    <col min="9225" max="9225" width="31.5703125" customWidth="1"/>
    <col min="9226" max="9226" width="10.85546875" customWidth="1"/>
    <col min="9227" max="9227" width="16" customWidth="1"/>
    <col min="9230" max="9230" width="7.5703125" customWidth="1"/>
    <col min="9231" max="9231" width="0.5703125" customWidth="1"/>
    <col min="9232" max="9232" width="11.5703125" bestFit="1" customWidth="1"/>
    <col min="9472" max="9472" width="24.7109375" customWidth="1"/>
    <col min="9473" max="9473" width="17.85546875" customWidth="1"/>
    <col min="9474" max="9474" width="20.7109375" customWidth="1"/>
    <col min="9475" max="9475" width="16.5703125" customWidth="1"/>
    <col min="9476" max="9476" width="7.140625" customWidth="1"/>
    <col min="9477" max="9477" width="15.140625" customWidth="1"/>
    <col min="9478" max="9478" width="6.28515625" customWidth="1"/>
    <col min="9479" max="9479" width="19.7109375" customWidth="1"/>
    <col min="9480" max="9480" width="22.42578125" customWidth="1"/>
    <col min="9481" max="9481" width="31.5703125" customWidth="1"/>
    <col min="9482" max="9482" width="10.85546875" customWidth="1"/>
    <col min="9483" max="9483" width="16" customWidth="1"/>
    <col min="9486" max="9486" width="7.5703125" customWidth="1"/>
    <col min="9487" max="9487" width="0.5703125" customWidth="1"/>
    <col min="9488" max="9488" width="11.5703125" bestFit="1" customWidth="1"/>
    <col min="9728" max="9728" width="24.7109375" customWidth="1"/>
    <col min="9729" max="9729" width="17.85546875" customWidth="1"/>
    <col min="9730" max="9730" width="20.7109375" customWidth="1"/>
    <col min="9731" max="9731" width="16.5703125" customWidth="1"/>
    <col min="9732" max="9732" width="7.140625" customWidth="1"/>
    <col min="9733" max="9733" width="15.140625" customWidth="1"/>
    <col min="9734" max="9734" width="6.28515625" customWidth="1"/>
    <col min="9735" max="9735" width="19.7109375" customWidth="1"/>
    <col min="9736" max="9736" width="22.42578125" customWidth="1"/>
    <col min="9737" max="9737" width="31.5703125" customWidth="1"/>
    <col min="9738" max="9738" width="10.85546875" customWidth="1"/>
    <col min="9739" max="9739" width="16" customWidth="1"/>
    <col min="9742" max="9742" width="7.5703125" customWidth="1"/>
    <col min="9743" max="9743" width="0.5703125" customWidth="1"/>
    <col min="9744" max="9744" width="11.5703125" bestFit="1" customWidth="1"/>
    <col min="9984" max="9984" width="24.7109375" customWidth="1"/>
    <col min="9985" max="9985" width="17.85546875" customWidth="1"/>
    <col min="9986" max="9986" width="20.7109375" customWidth="1"/>
    <col min="9987" max="9987" width="16.5703125" customWidth="1"/>
    <col min="9988" max="9988" width="7.140625" customWidth="1"/>
    <col min="9989" max="9989" width="15.140625" customWidth="1"/>
    <col min="9990" max="9990" width="6.28515625" customWidth="1"/>
    <col min="9991" max="9991" width="19.7109375" customWidth="1"/>
    <col min="9992" max="9992" width="22.42578125" customWidth="1"/>
    <col min="9993" max="9993" width="31.5703125" customWidth="1"/>
    <col min="9994" max="9994" width="10.85546875" customWidth="1"/>
    <col min="9995" max="9995" width="16" customWidth="1"/>
    <col min="9998" max="9998" width="7.5703125" customWidth="1"/>
    <col min="9999" max="9999" width="0.5703125" customWidth="1"/>
    <col min="10000" max="10000" width="11.5703125" bestFit="1" customWidth="1"/>
    <col min="10240" max="10240" width="24.7109375" customWidth="1"/>
    <col min="10241" max="10241" width="17.85546875" customWidth="1"/>
    <col min="10242" max="10242" width="20.7109375" customWidth="1"/>
    <col min="10243" max="10243" width="16.5703125" customWidth="1"/>
    <col min="10244" max="10244" width="7.140625" customWidth="1"/>
    <col min="10245" max="10245" width="15.140625" customWidth="1"/>
    <col min="10246" max="10246" width="6.28515625" customWidth="1"/>
    <col min="10247" max="10247" width="19.7109375" customWidth="1"/>
    <col min="10248" max="10248" width="22.42578125" customWidth="1"/>
    <col min="10249" max="10249" width="31.5703125" customWidth="1"/>
    <col min="10250" max="10250" width="10.85546875" customWidth="1"/>
    <col min="10251" max="10251" width="16" customWidth="1"/>
    <col min="10254" max="10254" width="7.5703125" customWidth="1"/>
    <col min="10255" max="10255" width="0.5703125" customWidth="1"/>
    <col min="10256" max="10256" width="11.5703125" bestFit="1" customWidth="1"/>
    <col min="10496" max="10496" width="24.7109375" customWidth="1"/>
    <col min="10497" max="10497" width="17.85546875" customWidth="1"/>
    <col min="10498" max="10498" width="20.7109375" customWidth="1"/>
    <col min="10499" max="10499" width="16.5703125" customWidth="1"/>
    <col min="10500" max="10500" width="7.140625" customWidth="1"/>
    <col min="10501" max="10501" width="15.140625" customWidth="1"/>
    <col min="10502" max="10502" width="6.28515625" customWidth="1"/>
    <col min="10503" max="10503" width="19.7109375" customWidth="1"/>
    <col min="10504" max="10504" width="22.42578125" customWidth="1"/>
    <col min="10505" max="10505" width="31.5703125" customWidth="1"/>
    <col min="10506" max="10506" width="10.85546875" customWidth="1"/>
    <col min="10507" max="10507" width="16" customWidth="1"/>
    <col min="10510" max="10510" width="7.5703125" customWidth="1"/>
    <col min="10511" max="10511" width="0.5703125" customWidth="1"/>
    <col min="10512" max="10512" width="11.5703125" bestFit="1" customWidth="1"/>
    <col min="10752" max="10752" width="24.7109375" customWidth="1"/>
    <col min="10753" max="10753" width="17.85546875" customWidth="1"/>
    <col min="10754" max="10754" width="20.7109375" customWidth="1"/>
    <col min="10755" max="10755" width="16.5703125" customWidth="1"/>
    <col min="10756" max="10756" width="7.140625" customWidth="1"/>
    <col min="10757" max="10757" width="15.140625" customWidth="1"/>
    <col min="10758" max="10758" width="6.28515625" customWidth="1"/>
    <col min="10759" max="10759" width="19.7109375" customWidth="1"/>
    <col min="10760" max="10760" width="22.42578125" customWidth="1"/>
    <col min="10761" max="10761" width="31.5703125" customWidth="1"/>
    <col min="10762" max="10762" width="10.85546875" customWidth="1"/>
    <col min="10763" max="10763" width="16" customWidth="1"/>
    <col min="10766" max="10766" width="7.5703125" customWidth="1"/>
    <col min="10767" max="10767" width="0.5703125" customWidth="1"/>
    <col min="10768" max="10768" width="11.5703125" bestFit="1" customWidth="1"/>
    <col min="11008" max="11008" width="24.7109375" customWidth="1"/>
    <col min="11009" max="11009" width="17.85546875" customWidth="1"/>
    <col min="11010" max="11010" width="20.7109375" customWidth="1"/>
    <col min="11011" max="11011" width="16.5703125" customWidth="1"/>
    <col min="11012" max="11012" width="7.140625" customWidth="1"/>
    <col min="11013" max="11013" width="15.140625" customWidth="1"/>
    <col min="11014" max="11014" width="6.28515625" customWidth="1"/>
    <col min="11015" max="11015" width="19.7109375" customWidth="1"/>
    <col min="11016" max="11016" width="22.42578125" customWidth="1"/>
    <col min="11017" max="11017" width="31.5703125" customWidth="1"/>
    <col min="11018" max="11018" width="10.85546875" customWidth="1"/>
    <col min="11019" max="11019" width="16" customWidth="1"/>
    <col min="11022" max="11022" width="7.5703125" customWidth="1"/>
    <col min="11023" max="11023" width="0.5703125" customWidth="1"/>
    <col min="11024" max="11024" width="11.5703125" bestFit="1" customWidth="1"/>
    <col min="11264" max="11264" width="24.7109375" customWidth="1"/>
    <col min="11265" max="11265" width="17.85546875" customWidth="1"/>
    <col min="11266" max="11266" width="20.7109375" customWidth="1"/>
    <col min="11267" max="11267" width="16.5703125" customWidth="1"/>
    <col min="11268" max="11268" width="7.140625" customWidth="1"/>
    <col min="11269" max="11269" width="15.140625" customWidth="1"/>
    <col min="11270" max="11270" width="6.28515625" customWidth="1"/>
    <col min="11271" max="11271" width="19.7109375" customWidth="1"/>
    <col min="11272" max="11272" width="22.42578125" customWidth="1"/>
    <col min="11273" max="11273" width="31.5703125" customWidth="1"/>
    <col min="11274" max="11274" width="10.85546875" customWidth="1"/>
    <col min="11275" max="11275" width="16" customWidth="1"/>
    <col min="11278" max="11278" width="7.5703125" customWidth="1"/>
    <col min="11279" max="11279" width="0.5703125" customWidth="1"/>
    <col min="11280" max="11280" width="11.5703125" bestFit="1" customWidth="1"/>
    <col min="11520" max="11520" width="24.7109375" customWidth="1"/>
    <col min="11521" max="11521" width="17.85546875" customWidth="1"/>
    <col min="11522" max="11522" width="20.7109375" customWidth="1"/>
    <col min="11523" max="11523" width="16.5703125" customWidth="1"/>
    <col min="11524" max="11524" width="7.140625" customWidth="1"/>
    <col min="11525" max="11525" width="15.140625" customWidth="1"/>
    <col min="11526" max="11526" width="6.28515625" customWidth="1"/>
    <col min="11527" max="11527" width="19.7109375" customWidth="1"/>
    <col min="11528" max="11528" width="22.42578125" customWidth="1"/>
    <col min="11529" max="11529" width="31.5703125" customWidth="1"/>
    <col min="11530" max="11530" width="10.85546875" customWidth="1"/>
    <col min="11531" max="11531" width="16" customWidth="1"/>
    <col min="11534" max="11534" width="7.5703125" customWidth="1"/>
    <col min="11535" max="11535" width="0.5703125" customWidth="1"/>
    <col min="11536" max="11536" width="11.5703125" bestFit="1" customWidth="1"/>
    <col min="11776" max="11776" width="24.7109375" customWidth="1"/>
    <col min="11777" max="11777" width="17.85546875" customWidth="1"/>
    <col min="11778" max="11778" width="20.7109375" customWidth="1"/>
    <col min="11779" max="11779" width="16.5703125" customWidth="1"/>
    <col min="11780" max="11780" width="7.140625" customWidth="1"/>
    <col min="11781" max="11781" width="15.140625" customWidth="1"/>
    <col min="11782" max="11782" width="6.28515625" customWidth="1"/>
    <col min="11783" max="11783" width="19.7109375" customWidth="1"/>
    <col min="11784" max="11784" width="22.42578125" customWidth="1"/>
    <col min="11785" max="11785" width="31.5703125" customWidth="1"/>
    <col min="11786" max="11786" width="10.85546875" customWidth="1"/>
    <col min="11787" max="11787" width="16" customWidth="1"/>
    <col min="11790" max="11790" width="7.5703125" customWidth="1"/>
    <col min="11791" max="11791" width="0.5703125" customWidth="1"/>
    <col min="11792" max="11792" width="11.5703125" bestFit="1" customWidth="1"/>
    <col min="12032" max="12032" width="24.7109375" customWidth="1"/>
    <col min="12033" max="12033" width="17.85546875" customWidth="1"/>
    <col min="12034" max="12034" width="20.7109375" customWidth="1"/>
    <col min="12035" max="12035" width="16.5703125" customWidth="1"/>
    <col min="12036" max="12036" width="7.140625" customWidth="1"/>
    <col min="12037" max="12037" width="15.140625" customWidth="1"/>
    <col min="12038" max="12038" width="6.28515625" customWidth="1"/>
    <col min="12039" max="12039" width="19.7109375" customWidth="1"/>
    <col min="12040" max="12040" width="22.42578125" customWidth="1"/>
    <col min="12041" max="12041" width="31.5703125" customWidth="1"/>
    <col min="12042" max="12042" width="10.85546875" customWidth="1"/>
    <col min="12043" max="12043" width="16" customWidth="1"/>
    <col min="12046" max="12046" width="7.5703125" customWidth="1"/>
    <col min="12047" max="12047" width="0.5703125" customWidth="1"/>
    <col min="12048" max="12048" width="11.5703125" bestFit="1" customWidth="1"/>
    <col min="12288" max="12288" width="24.7109375" customWidth="1"/>
    <col min="12289" max="12289" width="17.85546875" customWidth="1"/>
    <col min="12290" max="12290" width="20.7109375" customWidth="1"/>
    <col min="12291" max="12291" width="16.5703125" customWidth="1"/>
    <col min="12292" max="12292" width="7.140625" customWidth="1"/>
    <col min="12293" max="12293" width="15.140625" customWidth="1"/>
    <col min="12294" max="12294" width="6.28515625" customWidth="1"/>
    <col min="12295" max="12295" width="19.7109375" customWidth="1"/>
    <col min="12296" max="12296" width="22.42578125" customWidth="1"/>
    <col min="12297" max="12297" width="31.5703125" customWidth="1"/>
    <col min="12298" max="12298" width="10.85546875" customWidth="1"/>
    <col min="12299" max="12299" width="16" customWidth="1"/>
    <col min="12302" max="12302" width="7.5703125" customWidth="1"/>
    <col min="12303" max="12303" width="0.5703125" customWidth="1"/>
    <col min="12304" max="12304" width="11.5703125" bestFit="1" customWidth="1"/>
    <col min="12544" max="12544" width="24.7109375" customWidth="1"/>
    <col min="12545" max="12545" width="17.85546875" customWidth="1"/>
    <col min="12546" max="12546" width="20.7109375" customWidth="1"/>
    <col min="12547" max="12547" width="16.5703125" customWidth="1"/>
    <col min="12548" max="12548" width="7.140625" customWidth="1"/>
    <col min="12549" max="12549" width="15.140625" customWidth="1"/>
    <col min="12550" max="12550" width="6.28515625" customWidth="1"/>
    <col min="12551" max="12551" width="19.7109375" customWidth="1"/>
    <col min="12552" max="12552" width="22.42578125" customWidth="1"/>
    <col min="12553" max="12553" width="31.5703125" customWidth="1"/>
    <col min="12554" max="12554" width="10.85546875" customWidth="1"/>
    <col min="12555" max="12555" width="16" customWidth="1"/>
    <col min="12558" max="12558" width="7.5703125" customWidth="1"/>
    <col min="12559" max="12559" width="0.5703125" customWidth="1"/>
    <col min="12560" max="12560" width="11.5703125" bestFit="1" customWidth="1"/>
    <col min="12800" max="12800" width="24.7109375" customWidth="1"/>
    <col min="12801" max="12801" width="17.85546875" customWidth="1"/>
    <col min="12802" max="12802" width="20.7109375" customWidth="1"/>
    <col min="12803" max="12803" width="16.5703125" customWidth="1"/>
    <col min="12804" max="12804" width="7.140625" customWidth="1"/>
    <col min="12805" max="12805" width="15.140625" customWidth="1"/>
    <col min="12806" max="12806" width="6.28515625" customWidth="1"/>
    <col min="12807" max="12807" width="19.7109375" customWidth="1"/>
    <col min="12808" max="12808" width="22.42578125" customWidth="1"/>
    <col min="12809" max="12809" width="31.5703125" customWidth="1"/>
    <col min="12810" max="12810" width="10.85546875" customWidth="1"/>
    <col min="12811" max="12811" width="16" customWidth="1"/>
    <col min="12814" max="12814" width="7.5703125" customWidth="1"/>
    <col min="12815" max="12815" width="0.5703125" customWidth="1"/>
    <col min="12816" max="12816" width="11.5703125" bestFit="1" customWidth="1"/>
    <col min="13056" max="13056" width="24.7109375" customWidth="1"/>
    <col min="13057" max="13057" width="17.85546875" customWidth="1"/>
    <col min="13058" max="13058" width="20.7109375" customWidth="1"/>
    <col min="13059" max="13059" width="16.5703125" customWidth="1"/>
    <col min="13060" max="13060" width="7.140625" customWidth="1"/>
    <col min="13061" max="13061" width="15.140625" customWidth="1"/>
    <col min="13062" max="13062" width="6.28515625" customWidth="1"/>
    <col min="13063" max="13063" width="19.7109375" customWidth="1"/>
    <col min="13064" max="13064" width="22.42578125" customWidth="1"/>
    <col min="13065" max="13065" width="31.5703125" customWidth="1"/>
    <col min="13066" max="13066" width="10.85546875" customWidth="1"/>
    <col min="13067" max="13067" width="16" customWidth="1"/>
    <col min="13070" max="13070" width="7.5703125" customWidth="1"/>
    <col min="13071" max="13071" width="0.5703125" customWidth="1"/>
    <col min="13072" max="13072" width="11.5703125" bestFit="1" customWidth="1"/>
    <col min="13312" max="13312" width="24.7109375" customWidth="1"/>
    <col min="13313" max="13313" width="17.85546875" customWidth="1"/>
    <col min="13314" max="13314" width="20.7109375" customWidth="1"/>
    <col min="13315" max="13315" width="16.5703125" customWidth="1"/>
    <col min="13316" max="13316" width="7.140625" customWidth="1"/>
    <col min="13317" max="13317" width="15.140625" customWidth="1"/>
    <col min="13318" max="13318" width="6.28515625" customWidth="1"/>
    <col min="13319" max="13319" width="19.7109375" customWidth="1"/>
    <col min="13320" max="13320" width="22.42578125" customWidth="1"/>
    <col min="13321" max="13321" width="31.5703125" customWidth="1"/>
    <col min="13322" max="13322" width="10.85546875" customWidth="1"/>
    <col min="13323" max="13323" width="16" customWidth="1"/>
    <col min="13326" max="13326" width="7.5703125" customWidth="1"/>
    <col min="13327" max="13327" width="0.5703125" customWidth="1"/>
    <col min="13328" max="13328" width="11.5703125" bestFit="1" customWidth="1"/>
    <col min="13568" max="13568" width="24.7109375" customWidth="1"/>
    <col min="13569" max="13569" width="17.85546875" customWidth="1"/>
    <col min="13570" max="13570" width="20.7109375" customWidth="1"/>
    <col min="13571" max="13571" width="16.5703125" customWidth="1"/>
    <col min="13572" max="13572" width="7.140625" customWidth="1"/>
    <col min="13573" max="13573" width="15.140625" customWidth="1"/>
    <col min="13574" max="13574" width="6.28515625" customWidth="1"/>
    <col min="13575" max="13575" width="19.7109375" customWidth="1"/>
    <col min="13576" max="13576" width="22.42578125" customWidth="1"/>
    <col min="13577" max="13577" width="31.5703125" customWidth="1"/>
    <col min="13578" max="13578" width="10.85546875" customWidth="1"/>
    <col min="13579" max="13579" width="16" customWidth="1"/>
    <col min="13582" max="13582" width="7.5703125" customWidth="1"/>
    <col min="13583" max="13583" width="0.5703125" customWidth="1"/>
    <col min="13584" max="13584" width="11.5703125" bestFit="1" customWidth="1"/>
    <col min="13824" max="13824" width="24.7109375" customWidth="1"/>
    <col min="13825" max="13825" width="17.85546875" customWidth="1"/>
    <col min="13826" max="13826" width="20.7109375" customWidth="1"/>
    <col min="13827" max="13827" width="16.5703125" customWidth="1"/>
    <col min="13828" max="13828" width="7.140625" customWidth="1"/>
    <col min="13829" max="13829" width="15.140625" customWidth="1"/>
    <col min="13830" max="13830" width="6.28515625" customWidth="1"/>
    <col min="13831" max="13831" width="19.7109375" customWidth="1"/>
    <col min="13832" max="13832" width="22.42578125" customWidth="1"/>
    <col min="13833" max="13833" width="31.5703125" customWidth="1"/>
    <col min="13834" max="13834" width="10.85546875" customWidth="1"/>
    <col min="13835" max="13835" width="16" customWidth="1"/>
    <col min="13838" max="13838" width="7.5703125" customWidth="1"/>
    <col min="13839" max="13839" width="0.5703125" customWidth="1"/>
    <col min="13840" max="13840" width="11.5703125" bestFit="1" customWidth="1"/>
    <col min="14080" max="14080" width="24.7109375" customWidth="1"/>
    <col min="14081" max="14081" width="17.85546875" customWidth="1"/>
    <col min="14082" max="14082" width="20.7109375" customWidth="1"/>
    <col min="14083" max="14083" width="16.5703125" customWidth="1"/>
    <col min="14084" max="14084" width="7.140625" customWidth="1"/>
    <col min="14085" max="14085" width="15.140625" customWidth="1"/>
    <col min="14086" max="14086" width="6.28515625" customWidth="1"/>
    <col min="14087" max="14087" width="19.7109375" customWidth="1"/>
    <col min="14088" max="14088" width="22.42578125" customWidth="1"/>
    <col min="14089" max="14089" width="31.5703125" customWidth="1"/>
    <col min="14090" max="14090" width="10.85546875" customWidth="1"/>
    <col min="14091" max="14091" width="16" customWidth="1"/>
    <col min="14094" max="14094" width="7.5703125" customWidth="1"/>
    <col min="14095" max="14095" width="0.5703125" customWidth="1"/>
    <col min="14096" max="14096" width="11.5703125" bestFit="1" customWidth="1"/>
    <col min="14336" max="14336" width="24.7109375" customWidth="1"/>
    <col min="14337" max="14337" width="17.85546875" customWidth="1"/>
    <col min="14338" max="14338" width="20.7109375" customWidth="1"/>
    <col min="14339" max="14339" width="16.5703125" customWidth="1"/>
    <col min="14340" max="14340" width="7.140625" customWidth="1"/>
    <col min="14341" max="14341" width="15.140625" customWidth="1"/>
    <col min="14342" max="14342" width="6.28515625" customWidth="1"/>
    <col min="14343" max="14343" width="19.7109375" customWidth="1"/>
    <col min="14344" max="14344" width="22.42578125" customWidth="1"/>
    <col min="14345" max="14345" width="31.5703125" customWidth="1"/>
    <col min="14346" max="14346" width="10.85546875" customWidth="1"/>
    <col min="14347" max="14347" width="16" customWidth="1"/>
    <col min="14350" max="14350" width="7.5703125" customWidth="1"/>
    <col min="14351" max="14351" width="0.5703125" customWidth="1"/>
    <col min="14352" max="14352" width="11.5703125" bestFit="1" customWidth="1"/>
    <col min="14592" max="14592" width="24.7109375" customWidth="1"/>
    <col min="14593" max="14593" width="17.85546875" customWidth="1"/>
    <col min="14594" max="14594" width="20.7109375" customWidth="1"/>
    <col min="14595" max="14595" width="16.5703125" customWidth="1"/>
    <col min="14596" max="14596" width="7.140625" customWidth="1"/>
    <col min="14597" max="14597" width="15.140625" customWidth="1"/>
    <col min="14598" max="14598" width="6.28515625" customWidth="1"/>
    <col min="14599" max="14599" width="19.7109375" customWidth="1"/>
    <col min="14600" max="14600" width="22.42578125" customWidth="1"/>
    <col min="14601" max="14601" width="31.5703125" customWidth="1"/>
    <col min="14602" max="14602" width="10.85546875" customWidth="1"/>
    <col min="14603" max="14603" width="16" customWidth="1"/>
    <col min="14606" max="14606" width="7.5703125" customWidth="1"/>
    <col min="14607" max="14607" width="0.5703125" customWidth="1"/>
    <col min="14608" max="14608" width="11.5703125" bestFit="1" customWidth="1"/>
    <col min="14848" max="14848" width="24.7109375" customWidth="1"/>
    <col min="14849" max="14849" width="17.85546875" customWidth="1"/>
    <col min="14850" max="14850" width="20.7109375" customWidth="1"/>
    <col min="14851" max="14851" width="16.5703125" customWidth="1"/>
    <col min="14852" max="14852" width="7.140625" customWidth="1"/>
    <col min="14853" max="14853" width="15.140625" customWidth="1"/>
    <col min="14854" max="14854" width="6.28515625" customWidth="1"/>
    <col min="14855" max="14855" width="19.7109375" customWidth="1"/>
    <col min="14856" max="14856" width="22.42578125" customWidth="1"/>
    <col min="14857" max="14857" width="31.5703125" customWidth="1"/>
    <col min="14858" max="14858" width="10.85546875" customWidth="1"/>
    <col min="14859" max="14859" width="16" customWidth="1"/>
    <col min="14862" max="14862" width="7.5703125" customWidth="1"/>
    <col min="14863" max="14863" width="0.5703125" customWidth="1"/>
    <col min="14864" max="14864" width="11.5703125" bestFit="1" customWidth="1"/>
    <col min="15104" max="15104" width="24.7109375" customWidth="1"/>
    <col min="15105" max="15105" width="17.85546875" customWidth="1"/>
    <col min="15106" max="15106" width="20.7109375" customWidth="1"/>
    <col min="15107" max="15107" width="16.5703125" customWidth="1"/>
    <col min="15108" max="15108" width="7.140625" customWidth="1"/>
    <col min="15109" max="15109" width="15.140625" customWidth="1"/>
    <col min="15110" max="15110" width="6.28515625" customWidth="1"/>
    <col min="15111" max="15111" width="19.7109375" customWidth="1"/>
    <col min="15112" max="15112" width="22.42578125" customWidth="1"/>
    <col min="15113" max="15113" width="31.5703125" customWidth="1"/>
    <col min="15114" max="15114" width="10.85546875" customWidth="1"/>
    <col min="15115" max="15115" width="16" customWidth="1"/>
    <col min="15118" max="15118" width="7.5703125" customWidth="1"/>
    <col min="15119" max="15119" width="0.5703125" customWidth="1"/>
    <col min="15120" max="15120" width="11.5703125" bestFit="1" customWidth="1"/>
    <col min="15360" max="15360" width="24.7109375" customWidth="1"/>
    <col min="15361" max="15361" width="17.85546875" customWidth="1"/>
    <col min="15362" max="15362" width="20.7109375" customWidth="1"/>
    <col min="15363" max="15363" width="16.5703125" customWidth="1"/>
    <col min="15364" max="15364" width="7.140625" customWidth="1"/>
    <col min="15365" max="15365" width="15.140625" customWidth="1"/>
    <col min="15366" max="15366" width="6.28515625" customWidth="1"/>
    <col min="15367" max="15367" width="19.7109375" customWidth="1"/>
    <col min="15368" max="15368" width="22.42578125" customWidth="1"/>
    <col min="15369" max="15369" width="31.5703125" customWidth="1"/>
    <col min="15370" max="15370" width="10.85546875" customWidth="1"/>
    <col min="15371" max="15371" width="16" customWidth="1"/>
    <col min="15374" max="15374" width="7.5703125" customWidth="1"/>
    <col min="15375" max="15375" width="0.5703125" customWidth="1"/>
    <col min="15376" max="15376" width="11.5703125" bestFit="1" customWidth="1"/>
    <col min="15616" max="15616" width="24.7109375" customWidth="1"/>
    <col min="15617" max="15617" width="17.85546875" customWidth="1"/>
    <col min="15618" max="15618" width="20.7109375" customWidth="1"/>
    <col min="15619" max="15619" width="16.5703125" customWidth="1"/>
    <col min="15620" max="15620" width="7.140625" customWidth="1"/>
    <col min="15621" max="15621" width="15.140625" customWidth="1"/>
    <col min="15622" max="15622" width="6.28515625" customWidth="1"/>
    <col min="15623" max="15623" width="19.7109375" customWidth="1"/>
    <col min="15624" max="15624" width="22.42578125" customWidth="1"/>
    <col min="15625" max="15625" width="31.5703125" customWidth="1"/>
    <col min="15626" max="15626" width="10.85546875" customWidth="1"/>
    <col min="15627" max="15627" width="16" customWidth="1"/>
    <col min="15630" max="15630" width="7.5703125" customWidth="1"/>
    <col min="15631" max="15631" width="0.5703125" customWidth="1"/>
    <col min="15632" max="15632" width="11.5703125" bestFit="1" customWidth="1"/>
    <col min="15872" max="15872" width="24.7109375" customWidth="1"/>
    <col min="15873" max="15873" width="17.85546875" customWidth="1"/>
    <col min="15874" max="15874" width="20.7109375" customWidth="1"/>
    <col min="15875" max="15875" width="16.5703125" customWidth="1"/>
    <col min="15876" max="15876" width="7.140625" customWidth="1"/>
    <col min="15877" max="15877" width="15.140625" customWidth="1"/>
    <col min="15878" max="15878" width="6.28515625" customWidth="1"/>
    <col min="15879" max="15879" width="19.7109375" customWidth="1"/>
    <col min="15880" max="15880" width="22.42578125" customWidth="1"/>
    <col min="15881" max="15881" width="31.5703125" customWidth="1"/>
    <col min="15882" max="15882" width="10.85546875" customWidth="1"/>
    <col min="15883" max="15883" width="16" customWidth="1"/>
    <col min="15886" max="15886" width="7.5703125" customWidth="1"/>
    <col min="15887" max="15887" width="0.5703125" customWidth="1"/>
    <col min="15888" max="15888" width="11.5703125" bestFit="1" customWidth="1"/>
    <col min="16128" max="16128" width="24.7109375" customWidth="1"/>
    <col min="16129" max="16129" width="17.85546875" customWidth="1"/>
    <col min="16130" max="16130" width="20.7109375" customWidth="1"/>
    <col min="16131" max="16131" width="16.5703125" customWidth="1"/>
    <col min="16132" max="16132" width="7.140625" customWidth="1"/>
    <col min="16133" max="16133" width="15.140625" customWidth="1"/>
    <col min="16134" max="16134" width="6.28515625" customWidth="1"/>
    <col min="16135" max="16135" width="19.7109375" customWidth="1"/>
    <col min="16136" max="16136" width="22.42578125" customWidth="1"/>
    <col min="16137" max="16137" width="31.5703125" customWidth="1"/>
    <col min="16138" max="16138" width="10.85546875" customWidth="1"/>
    <col min="16139" max="16139" width="16" customWidth="1"/>
    <col min="16142" max="16142" width="7.5703125" customWidth="1"/>
    <col min="16143" max="16143" width="0.5703125" customWidth="1"/>
    <col min="16144" max="16144" width="11.5703125" bestFit="1" customWidth="1"/>
  </cols>
  <sheetData>
    <row r="2" spans="2:15" ht="22.5" customHeight="1" x14ac:dyDescent="0.35">
      <c r="B2" s="670" t="s">
        <v>114</v>
      </c>
      <c r="C2" s="670"/>
      <c r="D2" s="670"/>
      <c r="E2" s="670"/>
      <c r="F2" s="79"/>
      <c r="G2" s="80"/>
      <c r="H2" s="80"/>
      <c r="J2" s="81"/>
      <c r="L2" s="80"/>
      <c r="M2" s="80"/>
    </row>
    <row r="3" spans="2:15" ht="28.5" customHeight="1" x14ac:dyDescent="0.35">
      <c r="B3" s="372" t="s">
        <v>312</v>
      </c>
      <c r="C3" s="371"/>
      <c r="D3" s="371"/>
      <c r="E3" s="371"/>
      <c r="F3" s="79"/>
      <c r="G3" s="80"/>
      <c r="H3" s="80"/>
      <c r="J3" s="81"/>
      <c r="L3" s="80"/>
      <c r="M3" s="80"/>
    </row>
    <row r="4" spans="2:15" s="134" customFormat="1" ht="129.75" customHeight="1" x14ac:dyDescent="0.25">
      <c r="B4" s="671" t="s">
        <v>364</v>
      </c>
      <c r="C4" s="671"/>
      <c r="D4" s="671"/>
      <c r="E4" s="671"/>
      <c r="F4" s="671"/>
      <c r="G4" s="671"/>
      <c r="H4" s="671"/>
      <c r="I4" s="671"/>
      <c r="J4" s="671"/>
      <c r="K4" s="671"/>
      <c r="L4" s="82"/>
      <c r="M4" s="82"/>
      <c r="N4" s="83"/>
      <c r="O4" s="83"/>
    </row>
    <row r="5" spans="2:15" ht="35.25" customHeight="1" x14ac:dyDescent="0.2">
      <c r="B5" s="672" t="s">
        <v>65</v>
      </c>
      <c r="C5" s="672"/>
      <c r="D5" s="672"/>
      <c r="E5" s="80"/>
      <c r="F5" s="80"/>
      <c r="G5" s="80"/>
      <c r="H5" s="80"/>
      <c r="J5" s="81"/>
      <c r="L5" s="80"/>
      <c r="M5" s="80"/>
    </row>
    <row r="6" spans="2:15" ht="36.75" customHeight="1" x14ac:dyDescent="0.2">
      <c r="B6" s="331" t="s">
        <v>240</v>
      </c>
      <c r="C6" s="331" t="s">
        <v>66</v>
      </c>
      <c r="D6" s="332" t="s">
        <v>67</v>
      </c>
      <c r="E6" s="84"/>
      <c r="F6" s="84"/>
      <c r="G6" s="85"/>
      <c r="H6" s="80"/>
      <c r="J6" s="81"/>
      <c r="L6" s="80"/>
      <c r="M6" s="80"/>
    </row>
    <row r="7" spans="2:15" ht="30" customHeight="1" x14ac:dyDescent="0.2">
      <c r="B7" s="333">
        <v>75</v>
      </c>
      <c r="C7" s="510">
        <v>2.5000000000000001E-2</v>
      </c>
      <c r="D7" s="335">
        <f t="shared" ref="D7:D14" si="0">C7*$C$16</f>
        <v>558938.39934646408</v>
      </c>
      <c r="E7" s="86"/>
      <c r="F7" s="86"/>
      <c r="G7" s="87"/>
      <c r="H7" s="80"/>
      <c r="J7" s="81"/>
      <c r="L7" s="80"/>
      <c r="M7" s="88"/>
    </row>
    <row r="8" spans="2:15" ht="30" customHeight="1" x14ac:dyDescent="0.2">
      <c r="B8" s="333">
        <v>85</v>
      </c>
      <c r="C8" s="510">
        <v>3.5000000000000003E-2</v>
      </c>
      <c r="D8" s="335">
        <f t="shared" si="0"/>
        <v>782513.75908504974</v>
      </c>
      <c r="E8" s="86"/>
      <c r="F8" s="86"/>
      <c r="G8" s="87"/>
      <c r="H8" s="80"/>
      <c r="J8" s="81"/>
      <c r="L8" s="80"/>
      <c r="M8" s="80"/>
    </row>
    <row r="9" spans="2:15" ht="30" customHeight="1" x14ac:dyDescent="0.2">
      <c r="B9" s="333">
        <v>95</v>
      </c>
      <c r="C9" s="510">
        <v>4.4999999999999998E-2</v>
      </c>
      <c r="D9" s="335">
        <f t="shared" si="0"/>
        <v>1006089.1188236353</v>
      </c>
      <c r="E9" s="90"/>
      <c r="F9" s="90"/>
      <c r="G9" s="87"/>
      <c r="H9" s="80"/>
      <c r="J9" s="81"/>
      <c r="L9" s="80"/>
      <c r="M9" s="80"/>
    </row>
    <row r="10" spans="2:15" ht="30" customHeight="1" x14ac:dyDescent="0.2">
      <c r="B10" s="336">
        <v>100</v>
      </c>
      <c r="C10" s="511">
        <v>0.05</v>
      </c>
      <c r="D10" s="338">
        <f t="shared" si="0"/>
        <v>1117876.7986929282</v>
      </c>
      <c r="E10" s="86"/>
      <c r="F10" s="86"/>
      <c r="G10" s="87"/>
      <c r="H10" s="80"/>
      <c r="J10" s="81"/>
      <c r="L10" s="80"/>
      <c r="M10" s="80"/>
    </row>
    <row r="11" spans="2:15" ht="29.25" customHeight="1" x14ac:dyDescent="0.2">
      <c r="B11" s="333">
        <v>105</v>
      </c>
      <c r="C11" s="510">
        <v>5.2900000000000003E-2</v>
      </c>
      <c r="D11" s="335">
        <f t="shared" si="0"/>
        <v>1182713.6530171179</v>
      </c>
      <c r="E11" s="86"/>
      <c r="F11" s="86"/>
      <c r="G11" s="87"/>
      <c r="H11" s="80"/>
      <c r="J11" s="81"/>
      <c r="L11" s="80"/>
      <c r="M11" s="80"/>
    </row>
    <row r="12" spans="2:15" ht="30" customHeight="1" x14ac:dyDescent="0.2">
      <c r="B12" s="333">
        <v>115</v>
      </c>
      <c r="C12" s="510">
        <v>5.8599999999999999E-2</v>
      </c>
      <c r="D12" s="335">
        <f t="shared" si="0"/>
        <v>1310151.6080681116</v>
      </c>
      <c r="E12" s="91"/>
      <c r="F12" s="91"/>
      <c r="G12" s="87"/>
      <c r="H12" s="80"/>
      <c r="J12" s="81"/>
      <c r="L12" s="80"/>
      <c r="M12" s="80"/>
    </row>
    <row r="13" spans="2:15" ht="30" customHeight="1" x14ac:dyDescent="0.2">
      <c r="B13" s="333">
        <v>125</v>
      </c>
      <c r="C13" s="510">
        <v>6.4299999999999996E-2</v>
      </c>
      <c r="D13" s="335">
        <f t="shared" si="0"/>
        <v>1437589.5631191053</v>
      </c>
      <c r="E13" s="91"/>
      <c r="F13" s="91"/>
      <c r="G13" s="87"/>
      <c r="H13" s="80"/>
      <c r="J13" s="81"/>
      <c r="L13" s="80"/>
      <c r="M13" s="80"/>
    </row>
    <row r="14" spans="2:15" ht="19.5" customHeight="1" x14ac:dyDescent="0.2">
      <c r="B14" s="333">
        <v>135</v>
      </c>
      <c r="C14" s="510">
        <v>7.0000000000000007E-2</v>
      </c>
      <c r="D14" s="335">
        <f t="shared" si="0"/>
        <v>1565027.5181700995</v>
      </c>
      <c r="E14" s="86"/>
      <c r="F14" s="86"/>
      <c r="G14" s="87"/>
      <c r="H14" s="80"/>
      <c r="J14" s="81"/>
      <c r="L14" s="80"/>
      <c r="M14" s="80"/>
    </row>
    <row r="15" spans="2:15" ht="24.75" customHeight="1" x14ac:dyDescent="0.2">
      <c r="B15" s="89"/>
      <c r="C15" s="369"/>
      <c r="D15" s="92"/>
      <c r="E15" s="86"/>
      <c r="F15" s="86"/>
      <c r="G15" s="87"/>
      <c r="H15" s="80"/>
      <c r="J15" s="81"/>
      <c r="L15" s="80"/>
      <c r="M15" s="80"/>
    </row>
    <row r="16" spans="2:15" s="95" customFormat="1" ht="36" x14ac:dyDescent="0.25">
      <c r="B16" s="339" t="s">
        <v>251</v>
      </c>
      <c r="C16" s="340">
        <f>'ES CT Gas Table A'!L50-'ES CT Gas Table A'!L45-'ES CT Gas Table A'!L43-'ES CT Gas Table A'!L41-'ES CT Gas Table A'!L44</f>
        <v>22357535.973858561</v>
      </c>
      <c r="D16" s="92"/>
      <c r="E16" s="93"/>
      <c r="F16" s="93"/>
      <c r="G16" s="94"/>
      <c r="J16" s="96"/>
      <c r="K16" s="105"/>
    </row>
    <row r="17" spans="2:13" ht="25.5" customHeight="1" x14ac:dyDescent="0.2">
      <c r="B17" s="675" t="s">
        <v>245</v>
      </c>
      <c r="C17" s="675"/>
      <c r="D17" s="675"/>
      <c r="E17" s="86"/>
      <c r="F17" s="86"/>
      <c r="G17" s="87"/>
      <c r="H17" s="80"/>
      <c r="J17" s="81"/>
      <c r="L17" s="80"/>
      <c r="M17" s="80"/>
    </row>
    <row r="18" spans="2:13" ht="19.5" customHeight="1" x14ac:dyDescent="0.2">
      <c r="B18" s="675"/>
      <c r="C18" s="675"/>
      <c r="D18" s="675"/>
      <c r="E18" s="86"/>
      <c r="F18" s="86"/>
      <c r="G18" s="87"/>
      <c r="H18" s="80"/>
      <c r="J18" s="81"/>
      <c r="L18" s="80"/>
      <c r="M18" s="80"/>
    </row>
    <row r="19" spans="2:13" ht="19.5" customHeight="1" x14ac:dyDescent="0.2">
      <c r="B19" s="80"/>
      <c r="D19" s="86"/>
      <c r="E19" s="86"/>
      <c r="F19" s="86"/>
      <c r="G19" s="87"/>
      <c r="H19" s="80"/>
      <c r="J19" s="81"/>
      <c r="L19" s="80"/>
      <c r="M19" s="80"/>
    </row>
    <row r="20" spans="2:13" ht="19.5" customHeight="1" x14ac:dyDescent="0.2">
      <c r="B20" s="80"/>
      <c r="D20" s="86"/>
      <c r="E20" s="86"/>
      <c r="F20" s="86"/>
      <c r="G20" s="87"/>
      <c r="H20" s="80"/>
      <c r="J20" s="81"/>
      <c r="L20" s="80"/>
      <c r="M20" s="80"/>
    </row>
    <row r="21" spans="2:13" ht="19.5" customHeight="1" x14ac:dyDescent="0.25">
      <c r="B21" s="110"/>
      <c r="D21" s="86"/>
      <c r="E21" s="86"/>
      <c r="F21" s="86"/>
      <c r="G21" s="87"/>
      <c r="H21" s="80"/>
      <c r="J21" s="81"/>
      <c r="L21" s="80"/>
      <c r="M21" s="80"/>
    </row>
    <row r="22" spans="2:13" ht="9" customHeight="1" thickBot="1" x14ac:dyDescent="0.25">
      <c r="B22" s="80"/>
      <c r="D22" s="80"/>
      <c r="E22" s="80"/>
      <c r="F22" s="80"/>
      <c r="G22" s="80"/>
      <c r="H22" s="80"/>
      <c r="J22" s="81"/>
      <c r="L22" s="80"/>
      <c r="M22" s="80"/>
    </row>
    <row r="23" spans="2:13" s="34" customFormat="1" ht="23.25" customHeight="1" thickBot="1" x14ac:dyDescent="0.25">
      <c r="B23" s="673" t="s">
        <v>68</v>
      </c>
      <c r="C23" s="673"/>
      <c r="D23" s="673" t="s">
        <v>69</v>
      </c>
      <c r="E23" s="673"/>
      <c r="F23" s="673"/>
      <c r="G23" s="673"/>
      <c r="H23" s="674" t="s">
        <v>70</v>
      </c>
      <c r="I23" s="674"/>
      <c r="J23" s="674"/>
      <c r="K23" s="674"/>
    </row>
    <row r="24" spans="2:13" s="34" customFormat="1" ht="36.75" customHeight="1" thickBot="1" x14ac:dyDescent="0.25">
      <c r="B24" s="673" t="s">
        <v>71</v>
      </c>
      <c r="C24" s="673"/>
      <c r="D24" s="673"/>
      <c r="E24" s="673"/>
      <c r="F24" s="673"/>
      <c r="G24" s="673"/>
      <c r="H24" s="469" t="s">
        <v>72</v>
      </c>
      <c r="I24" s="469" t="s">
        <v>73</v>
      </c>
      <c r="J24" s="469" t="s">
        <v>74</v>
      </c>
      <c r="K24" s="379" t="s">
        <v>75</v>
      </c>
    </row>
    <row r="25" spans="2:13" ht="19.5" customHeight="1" thickBot="1" x14ac:dyDescent="0.25">
      <c r="B25" s="663"/>
      <c r="C25" s="664"/>
      <c r="D25" s="664"/>
      <c r="E25" s="664"/>
      <c r="F25" s="664"/>
      <c r="G25" s="664"/>
      <c r="H25" s="664"/>
      <c r="I25" s="664"/>
      <c r="J25" s="664"/>
      <c r="K25" s="665"/>
      <c r="L25" s="80"/>
      <c r="M25" s="80"/>
    </row>
    <row r="26" spans="2:13" ht="17.25" customHeight="1" x14ac:dyDescent="0.2">
      <c r="B26" s="641" t="s">
        <v>29</v>
      </c>
      <c r="C26" s="642"/>
      <c r="D26" s="645" t="s">
        <v>76</v>
      </c>
      <c r="E26" s="641" t="s">
        <v>77</v>
      </c>
      <c r="F26" s="642"/>
      <c r="G26" s="647" t="s">
        <v>78</v>
      </c>
      <c r="H26" s="666"/>
      <c r="I26" s="666"/>
      <c r="J26" s="666"/>
      <c r="K26" s="668"/>
      <c r="L26" s="80"/>
      <c r="M26" s="80"/>
    </row>
    <row r="27" spans="2:13" ht="18.75" customHeight="1" thickBot="1" x14ac:dyDescent="0.25">
      <c r="B27" s="643"/>
      <c r="C27" s="644"/>
      <c r="D27" s="646"/>
      <c r="E27" s="643"/>
      <c r="F27" s="644"/>
      <c r="G27" s="648"/>
      <c r="H27" s="667"/>
      <c r="I27" s="667"/>
      <c r="J27" s="667"/>
      <c r="K27" s="669"/>
      <c r="L27" s="80"/>
      <c r="M27" s="80"/>
    </row>
    <row r="28" spans="2:13" ht="18" customHeight="1" thickBot="1" x14ac:dyDescent="0.25">
      <c r="B28" s="624" t="s">
        <v>246</v>
      </c>
      <c r="C28" s="627">
        <f>'ES CT Gas Table A'!L18</f>
        <v>11681744.709682666</v>
      </c>
      <c r="D28" s="690" t="s">
        <v>5</v>
      </c>
      <c r="E28" s="691"/>
      <c r="F28" s="691"/>
      <c r="G28" s="692"/>
      <c r="H28" s="679" t="s">
        <v>243</v>
      </c>
      <c r="I28" s="679" t="s">
        <v>244</v>
      </c>
      <c r="J28" s="705">
        <v>0.21440000000000001</v>
      </c>
      <c r="K28" s="627">
        <f>$D$10*J28</f>
        <v>239672.78563976381</v>
      </c>
      <c r="L28" s="80"/>
      <c r="M28" s="80"/>
    </row>
    <row r="29" spans="2:13" ht="43.5" hidden="1" customHeight="1" thickBot="1" x14ac:dyDescent="0.25">
      <c r="B29" s="625"/>
      <c r="C29" s="628"/>
      <c r="D29" s="693"/>
      <c r="E29" s="694"/>
      <c r="F29" s="694"/>
      <c r="G29" s="695"/>
      <c r="H29" s="680"/>
      <c r="I29" s="680"/>
      <c r="J29" s="706"/>
      <c r="K29" s="628"/>
      <c r="L29" s="80"/>
      <c r="M29" s="80"/>
    </row>
    <row r="30" spans="2:13" ht="18.75" customHeight="1" thickBot="1" x14ac:dyDescent="0.3">
      <c r="B30" s="625"/>
      <c r="C30" s="628"/>
      <c r="D30" s="373" t="s">
        <v>198</v>
      </c>
      <c r="E30" s="685">
        <f>'2014-24 ES CT G Table D2LifeCCF'!N11</f>
        <v>1517699.709578404</v>
      </c>
      <c r="F30" s="686"/>
      <c r="G30" s="350">
        <f>(E30*E$37)/I$33</f>
        <v>8.0751546039824346E-2</v>
      </c>
      <c r="H30" s="680"/>
      <c r="I30" s="680"/>
      <c r="J30" s="706"/>
      <c r="K30" s="628"/>
      <c r="L30" s="80"/>
      <c r="M30" s="80"/>
    </row>
    <row r="31" spans="2:13" ht="18.75" customHeight="1" thickBot="1" x14ac:dyDescent="0.3">
      <c r="B31" s="625"/>
      <c r="C31" s="628"/>
      <c r="D31" s="373" t="s">
        <v>96</v>
      </c>
      <c r="E31" s="685">
        <f>'2014-24 ES CT G Table D2LifeCCF'!N12</f>
        <v>3330248.6125423266</v>
      </c>
      <c r="F31" s="686"/>
      <c r="G31" s="350">
        <f>(E31*E$37)/I$33</f>
        <v>0.17719099665274091</v>
      </c>
      <c r="H31" s="680"/>
      <c r="I31" s="680"/>
      <c r="J31" s="706"/>
      <c r="K31" s="628"/>
      <c r="L31" s="80"/>
      <c r="M31" s="80"/>
    </row>
    <row r="32" spans="2:13" ht="45.75" customHeight="1" thickBot="1" x14ac:dyDescent="0.3">
      <c r="B32" s="625"/>
      <c r="C32" s="628"/>
      <c r="D32" s="501" t="s">
        <v>349</v>
      </c>
      <c r="E32" s="685">
        <f>'2014-24 ES CT G Table D2LifeCCF'!N13</f>
        <v>9959488.5928341672</v>
      </c>
      <c r="F32" s="686"/>
      <c r="G32" s="350">
        <f>(E32*E$37)/I$33</f>
        <v>0.52990990020071993</v>
      </c>
      <c r="H32" s="680"/>
      <c r="I32" s="681"/>
      <c r="J32" s="706"/>
      <c r="K32" s="628"/>
      <c r="L32" s="80"/>
      <c r="M32" s="80"/>
    </row>
    <row r="33" spans="2:17" ht="18.75" customHeight="1" thickBot="1" x14ac:dyDescent="0.3">
      <c r="B33" s="625"/>
      <c r="C33" s="628"/>
      <c r="D33" s="373" t="s">
        <v>197</v>
      </c>
      <c r="E33" s="685">
        <f>'2014-24 ES CT G Table D2LifeCCF'!N19</f>
        <v>3968810.318806516</v>
      </c>
      <c r="F33" s="686"/>
      <c r="G33" s="350">
        <f>(E33*E$37)/I$33</f>
        <v>0.21116665382472882</v>
      </c>
      <c r="H33" s="680"/>
      <c r="I33" s="676">
        <f>E38</f>
        <v>29332696.672007862</v>
      </c>
      <c r="J33" s="706"/>
      <c r="K33" s="628"/>
      <c r="L33" s="80"/>
      <c r="M33" s="80"/>
    </row>
    <row r="34" spans="2:17" ht="28.5" customHeight="1" thickBot="1" x14ac:dyDescent="0.3">
      <c r="B34" s="625"/>
      <c r="C34" s="628"/>
      <c r="D34" s="471" t="s">
        <v>211</v>
      </c>
      <c r="E34" s="685">
        <f>'2014-24 ES CT G Table D2LifeCCF'!N21</f>
        <v>18436</v>
      </c>
      <c r="F34" s="686"/>
      <c r="G34" s="350">
        <f>(E34*E$37)/I$33</f>
        <v>9.8091571962134185E-4</v>
      </c>
      <c r="H34" s="680"/>
      <c r="I34" s="677"/>
      <c r="J34" s="706"/>
      <c r="K34" s="628"/>
      <c r="L34" s="80"/>
      <c r="M34" s="80"/>
    </row>
    <row r="35" spans="2:17" ht="18.75" customHeight="1" thickBot="1" x14ac:dyDescent="0.3">
      <c r="B35" s="625"/>
      <c r="C35" s="628"/>
      <c r="D35" s="374" t="s">
        <v>79</v>
      </c>
      <c r="E35" s="708">
        <f>ROUND(SUM(E30:E34),0)</f>
        <v>18794683</v>
      </c>
      <c r="F35" s="709"/>
      <c r="G35" s="352"/>
      <c r="H35" s="680"/>
      <c r="I35" s="677"/>
      <c r="J35" s="706"/>
      <c r="K35" s="628"/>
      <c r="L35" s="80"/>
      <c r="M35" s="80"/>
      <c r="Q35" s="80" t="s">
        <v>5</v>
      </c>
    </row>
    <row r="36" spans="2:17" ht="18.75" customHeight="1" thickBot="1" x14ac:dyDescent="0.25">
      <c r="B36" s="625"/>
      <c r="C36" s="628"/>
      <c r="D36" s="682"/>
      <c r="E36" s="683"/>
      <c r="F36" s="683"/>
      <c r="G36" s="684"/>
      <c r="H36" s="680"/>
      <c r="I36" s="677"/>
      <c r="J36" s="706"/>
      <c r="K36" s="628"/>
      <c r="L36" s="80"/>
      <c r="M36" s="80"/>
    </row>
    <row r="37" spans="2:17" ht="30" customHeight="1" thickBot="1" x14ac:dyDescent="0.3">
      <c r="B37" s="625"/>
      <c r="C37" s="628"/>
      <c r="D37" s="351" t="s">
        <v>80</v>
      </c>
      <c r="E37" s="376">
        <f>E38/E35</f>
        <v>1.5606912163406992</v>
      </c>
      <c r="F37" s="377" t="s">
        <v>338</v>
      </c>
      <c r="G37" s="349"/>
      <c r="H37" s="680"/>
      <c r="I37" s="677"/>
      <c r="J37" s="706"/>
      <c r="K37" s="628"/>
      <c r="L37" s="80"/>
      <c r="M37" s="80"/>
    </row>
    <row r="38" spans="2:17" ht="21.75" customHeight="1" thickBot="1" x14ac:dyDescent="0.25">
      <c r="B38" s="625"/>
      <c r="C38" s="628"/>
      <c r="D38" s="345" t="s">
        <v>81</v>
      </c>
      <c r="E38" s="472">
        <f>'[15] Eversource Gas_Table B'!$F$37*1000</f>
        <v>29332696.672007862</v>
      </c>
      <c r="F38" s="353"/>
      <c r="G38" s="345"/>
      <c r="H38" s="680"/>
      <c r="I38" s="677"/>
      <c r="J38" s="706"/>
      <c r="K38" s="628"/>
      <c r="L38" s="80"/>
      <c r="M38" s="80"/>
    </row>
    <row r="39" spans="2:17" ht="30" customHeight="1" thickBot="1" x14ac:dyDescent="0.25">
      <c r="B39" s="626"/>
      <c r="C39" s="629"/>
      <c r="D39" s="687" t="s">
        <v>82</v>
      </c>
      <c r="E39" s="688"/>
      <c r="F39" s="688"/>
      <c r="G39" s="689"/>
      <c r="H39" s="681"/>
      <c r="I39" s="678"/>
      <c r="J39" s="707"/>
      <c r="K39" s="629"/>
      <c r="L39" s="80"/>
      <c r="M39" s="80"/>
    </row>
    <row r="40" spans="2:17" ht="42" customHeight="1" thickBot="1" x14ac:dyDescent="0.25">
      <c r="B40" s="471" t="s">
        <v>241</v>
      </c>
      <c r="D40" s="687"/>
      <c r="E40" s="688"/>
      <c r="F40" s="688"/>
      <c r="G40" s="689"/>
      <c r="H40" s="470"/>
      <c r="I40" s="472">
        <f>I33-C28</f>
        <v>17650951.962325197</v>
      </c>
      <c r="J40" s="356">
        <v>0.21440000000000001</v>
      </c>
      <c r="K40" s="472">
        <f>$D$10*J40</f>
        <v>239672.78563976381</v>
      </c>
      <c r="L40" s="80"/>
      <c r="M40" s="80"/>
    </row>
    <row r="41" spans="2:17" ht="72" customHeight="1" thickBot="1" x14ac:dyDescent="0.25">
      <c r="B41" s="341" t="s">
        <v>96</v>
      </c>
      <c r="C41" s="472">
        <f>'ES CT Gas Table A'!L14</f>
        <v>3266170.3862450402</v>
      </c>
      <c r="D41" s="710" t="s">
        <v>345</v>
      </c>
      <c r="E41" s="710"/>
      <c r="F41" s="710"/>
      <c r="G41" s="710"/>
      <c r="H41" s="496" t="s">
        <v>340</v>
      </c>
      <c r="I41" s="342" t="s">
        <v>346</v>
      </c>
      <c r="J41" s="343">
        <v>4.4999999999999998E-2</v>
      </c>
      <c r="K41" s="358">
        <f>$D$10*J41</f>
        <v>50304.455941181768</v>
      </c>
      <c r="L41" s="80"/>
      <c r="M41" s="80"/>
    </row>
    <row r="42" spans="2:17" ht="91.5" customHeight="1" thickBot="1" x14ac:dyDescent="0.25">
      <c r="B42" s="471" t="s">
        <v>247</v>
      </c>
      <c r="C42" s="472">
        <f>'ES CT Gas Table A'!L16</f>
        <v>5046220.6981856497</v>
      </c>
      <c r="D42" s="711" t="s">
        <v>345</v>
      </c>
      <c r="E42" s="711"/>
      <c r="F42" s="711"/>
      <c r="G42" s="711"/>
      <c r="H42" s="496" t="s">
        <v>340</v>
      </c>
      <c r="I42" s="342" t="s">
        <v>346</v>
      </c>
      <c r="J42" s="343">
        <v>4.4999999999999998E-2</v>
      </c>
      <c r="K42" s="359">
        <f>$D$10*J42</f>
        <v>50304.455941181768</v>
      </c>
    </row>
    <row r="43" spans="2:17" ht="30" customHeight="1" thickBot="1" x14ac:dyDescent="0.25">
      <c r="B43" s="383"/>
      <c r="C43" s="712"/>
      <c r="D43" s="712"/>
      <c r="E43" s="712"/>
      <c r="F43" s="712"/>
      <c r="G43" s="712"/>
      <c r="H43" s="712"/>
      <c r="I43" s="712"/>
      <c r="J43" s="712"/>
      <c r="K43" s="640"/>
    </row>
    <row r="44" spans="2:17" ht="36.75" customHeight="1" x14ac:dyDescent="0.2">
      <c r="B44" s="641" t="s">
        <v>83</v>
      </c>
      <c r="C44" s="642"/>
      <c r="D44" s="645" t="s">
        <v>76</v>
      </c>
      <c r="E44" s="641" t="s">
        <v>344</v>
      </c>
      <c r="F44" s="642"/>
      <c r="G44" s="647" t="s">
        <v>78</v>
      </c>
      <c r="H44" s="713"/>
      <c r="I44" s="713"/>
      <c r="J44" s="713"/>
      <c r="K44" s="621"/>
    </row>
    <row r="45" spans="2:17" ht="19.5" customHeight="1" thickBot="1" x14ac:dyDescent="0.25">
      <c r="B45" s="643"/>
      <c r="C45" s="644"/>
      <c r="D45" s="646"/>
      <c r="E45" s="643"/>
      <c r="F45" s="644"/>
      <c r="G45" s="648"/>
      <c r="H45" s="714"/>
      <c r="I45" s="714"/>
      <c r="J45" s="714"/>
      <c r="K45" s="622"/>
    </row>
    <row r="46" spans="2:17" ht="45.75" customHeight="1" thickBot="1" x14ac:dyDescent="0.3">
      <c r="B46" s="624" t="s">
        <v>84</v>
      </c>
      <c r="C46" s="627">
        <f>'ES CT Gas Table A'!L24</f>
        <v>9427111.9721190296</v>
      </c>
      <c r="D46" s="478" t="s">
        <v>85</v>
      </c>
      <c r="E46" s="633">
        <f>'2014-24 ES CT G Table D2LifeCCF'!N24</f>
        <v>6253392.2151628137</v>
      </c>
      <c r="F46" s="634"/>
      <c r="G46" s="350">
        <f>(E46*$E$52)/$I$48</f>
        <v>0.39701957598091514</v>
      </c>
      <c r="H46" s="699" t="s">
        <v>250</v>
      </c>
      <c r="I46" s="623" t="s">
        <v>100</v>
      </c>
      <c r="J46" s="658">
        <v>0.18559999999999999</v>
      </c>
      <c r="K46" s="652">
        <f>$D$10*J46</f>
        <v>207477.93383740744</v>
      </c>
    </row>
    <row r="47" spans="2:17" ht="28.5" customHeight="1" thickBot="1" x14ac:dyDescent="0.3">
      <c r="B47" s="625"/>
      <c r="C47" s="628"/>
      <c r="D47" s="478" t="s">
        <v>86</v>
      </c>
      <c r="E47" s="633">
        <f>'2014-24 ES CT G Table D2LifeCCF'!N25</f>
        <v>6145731.8328559855</v>
      </c>
      <c r="F47" s="634"/>
      <c r="G47" s="350">
        <f>(E47*$E$52)/$I$48</f>
        <v>0.39018436113068411</v>
      </c>
      <c r="H47" s="700"/>
      <c r="I47" s="623"/>
      <c r="J47" s="659"/>
      <c r="K47" s="653"/>
    </row>
    <row r="48" spans="2:17" ht="36.75" thickBot="1" x14ac:dyDescent="0.3">
      <c r="B48" s="625"/>
      <c r="C48" s="628"/>
      <c r="D48" s="478" t="s">
        <v>199</v>
      </c>
      <c r="E48" s="633">
        <f>'2014-24 ES CT G Table D2LifeCCF'!N26</f>
        <v>1887437.6090031206</v>
      </c>
      <c r="F48" s="634"/>
      <c r="G48" s="350">
        <f>(E48*$E$52)/$I$48</f>
        <v>0.11983090991796062</v>
      </c>
      <c r="H48" s="700"/>
      <c r="I48" s="702">
        <f>E53</f>
        <v>23438948.287362017</v>
      </c>
      <c r="J48" s="659"/>
      <c r="K48" s="653"/>
    </row>
    <row r="49" spans="2:16" ht="30.75" customHeight="1" thickBot="1" x14ac:dyDescent="0.3">
      <c r="B49" s="625"/>
      <c r="C49" s="628"/>
      <c r="D49" s="478" t="s">
        <v>11</v>
      </c>
      <c r="E49" s="633">
        <f>'2014-24 ES CT G Table D2LifeCCF'!N27</f>
        <v>1464279.386213399</v>
      </c>
      <c r="F49" s="634"/>
      <c r="G49" s="350">
        <f>(E49*$E$52)/$I$48</f>
        <v>9.2965155715393169E-2</v>
      </c>
      <c r="H49" s="700"/>
      <c r="I49" s="703"/>
      <c r="J49" s="659"/>
      <c r="K49" s="653"/>
    </row>
    <row r="50" spans="2:16" ht="27.75" customHeight="1" thickBot="1" x14ac:dyDescent="0.3">
      <c r="B50" s="625"/>
      <c r="C50" s="628"/>
      <c r="D50" s="380" t="s">
        <v>79</v>
      </c>
      <c r="E50" s="635">
        <f>ROUND(SUM(E46:E49),0)</f>
        <v>15750841</v>
      </c>
      <c r="F50" s="636"/>
      <c r="G50" s="347"/>
      <c r="H50" s="700"/>
      <c r="I50" s="703"/>
      <c r="J50" s="659"/>
      <c r="K50" s="653"/>
    </row>
    <row r="51" spans="2:16" ht="18.75" customHeight="1" thickBot="1" x14ac:dyDescent="0.25">
      <c r="B51" s="625"/>
      <c r="C51" s="628"/>
      <c r="D51" s="474"/>
      <c r="E51" s="475"/>
      <c r="F51" s="475"/>
      <c r="G51" s="476"/>
      <c r="H51" s="700"/>
      <c r="I51" s="703"/>
      <c r="J51" s="659"/>
      <c r="K51" s="653"/>
    </row>
    <row r="52" spans="2:16" ht="32.25" customHeight="1" thickBot="1" x14ac:dyDescent="0.25">
      <c r="B52" s="625"/>
      <c r="C52" s="628"/>
      <c r="D52" s="478" t="s">
        <v>80</v>
      </c>
      <c r="E52" s="376">
        <f>E53/E50</f>
        <v>1.4881077326196117</v>
      </c>
      <c r="F52" s="382" t="s">
        <v>338</v>
      </c>
      <c r="G52" s="637"/>
      <c r="H52" s="700"/>
      <c r="I52" s="703"/>
      <c r="J52" s="659"/>
      <c r="K52" s="653"/>
    </row>
    <row r="53" spans="2:16" ht="28.5" customHeight="1" thickBot="1" x14ac:dyDescent="0.25">
      <c r="B53" s="625"/>
      <c r="C53" s="628"/>
      <c r="D53" s="478" t="s">
        <v>81</v>
      </c>
      <c r="E53" s="639">
        <f>'[15] Eversource Gas_Table B'!$F$43*1000</f>
        <v>23438948.287362017</v>
      </c>
      <c r="F53" s="640"/>
      <c r="G53" s="638"/>
      <c r="H53" s="700"/>
      <c r="I53" s="703"/>
      <c r="J53" s="659"/>
      <c r="K53" s="653"/>
      <c r="M53" s="97"/>
      <c r="P53" s="98"/>
    </row>
    <row r="54" spans="2:16" ht="27.75" customHeight="1" thickBot="1" x14ac:dyDescent="0.25">
      <c r="B54" s="626"/>
      <c r="C54" s="629"/>
      <c r="D54" s="630" t="s">
        <v>82</v>
      </c>
      <c r="E54" s="631"/>
      <c r="F54" s="631"/>
      <c r="G54" s="632"/>
      <c r="H54" s="701"/>
      <c r="I54" s="704"/>
      <c r="J54" s="660"/>
      <c r="K54" s="654"/>
      <c r="P54" s="98"/>
    </row>
    <row r="55" spans="2:16" ht="67.5" customHeight="1" thickBot="1" x14ac:dyDescent="0.25">
      <c r="B55" s="471" t="s">
        <v>248</v>
      </c>
      <c r="D55" s="696"/>
      <c r="E55" s="697"/>
      <c r="F55" s="697"/>
      <c r="G55" s="698"/>
      <c r="H55" s="473"/>
      <c r="I55" s="361">
        <f>E53-C46</f>
        <v>14011836.315242987</v>
      </c>
      <c r="J55" s="346">
        <v>0.18559999999999999</v>
      </c>
      <c r="K55" s="361">
        <f>$D$10*J55</f>
        <v>207477.93383740744</v>
      </c>
      <c r="M55" s="97"/>
      <c r="P55" s="98"/>
    </row>
    <row r="56" spans="2:16" s="101" customFormat="1" ht="25.5" customHeight="1" thickBot="1" x14ac:dyDescent="0.25">
      <c r="B56" s="661" t="s">
        <v>11</v>
      </c>
      <c r="C56" s="662">
        <f>'ES CT Gas Table A'!L23</f>
        <v>733132.61648411001</v>
      </c>
      <c r="D56" s="623" t="s">
        <v>365</v>
      </c>
      <c r="E56" s="623"/>
      <c r="F56" s="623"/>
      <c r="G56" s="623"/>
      <c r="H56" s="652" t="s">
        <v>242</v>
      </c>
      <c r="I56" s="655" t="s">
        <v>326</v>
      </c>
      <c r="J56" s="658">
        <v>0.05</v>
      </c>
      <c r="K56" s="652">
        <f>$D$10*J56</f>
        <v>55893.839934646414</v>
      </c>
      <c r="M56" s="102"/>
      <c r="P56" s="103"/>
    </row>
    <row r="57" spans="2:16" s="101" customFormat="1" ht="25.5" customHeight="1" thickBot="1" x14ac:dyDescent="0.25">
      <c r="B57" s="661"/>
      <c r="C57" s="662"/>
      <c r="D57" s="623"/>
      <c r="E57" s="623"/>
      <c r="F57" s="623"/>
      <c r="G57" s="623"/>
      <c r="H57" s="653"/>
      <c r="I57" s="656"/>
      <c r="J57" s="659"/>
      <c r="K57" s="653"/>
      <c r="M57" s="102"/>
      <c r="P57" s="103"/>
    </row>
    <row r="58" spans="2:16" s="101" customFormat="1" ht="25.5" customHeight="1" thickBot="1" x14ac:dyDescent="0.25">
      <c r="B58" s="661"/>
      <c r="C58" s="662"/>
      <c r="D58" s="623"/>
      <c r="E58" s="623"/>
      <c r="F58" s="623"/>
      <c r="G58" s="623"/>
      <c r="H58" s="653"/>
      <c r="I58" s="656"/>
      <c r="J58" s="659"/>
      <c r="K58" s="653"/>
      <c r="M58" s="102"/>
      <c r="P58" s="103"/>
    </row>
    <row r="59" spans="2:16" s="101" customFormat="1" ht="25.5" customHeight="1" thickBot="1" x14ac:dyDescent="0.25">
      <c r="B59" s="661"/>
      <c r="C59" s="662"/>
      <c r="D59" s="623"/>
      <c r="E59" s="623"/>
      <c r="F59" s="623"/>
      <c r="G59" s="623"/>
      <c r="H59" s="653"/>
      <c r="I59" s="656"/>
      <c r="J59" s="659"/>
      <c r="K59" s="653"/>
      <c r="M59" s="102"/>
      <c r="P59" s="103"/>
    </row>
    <row r="60" spans="2:16" s="101" customFormat="1" ht="46.5" customHeight="1" thickBot="1" x14ac:dyDescent="0.25">
      <c r="B60" s="661"/>
      <c r="C60" s="662"/>
      <c r="D60" s="623"/>
      <c r="E60" s="623"/>
      <c r="F60" s="623"/>
      <c r="G60" s="623"/>
      <c r="H60" s="654"/>
      <c r="I60" s="657"/>
      <c r="J60" s="660"/>
      <c r="K60" s="654"/>
      <c r="M60" s="102"/>
      <c r="P60" s="103"/>
    </row>
    <row r="61" spans="2:16" ht="189" customHeight="1" thickBot="1" x14ac:dyDescent="0.25">
      <c r="B61" s="471" t="s">
        <v>249</v>
      </c>
      <c r="C61" s="472">
        <f>'ES CT Gas Table A'!$K$20+'ES CT Gas Table A'!L21</f>
        <v>8110607.64189116</v>
      </c>
      <c r="D61" s="623" t="s">
        <v>366</v>
      </c>
      <c r="E61" s="623"/>
      <c r="F61" s="623"/>
      <c r="G61" s="623"/>
      <c r="H61" s="361" t="s">
        <v>242</v>
      </c>
      <c r="I61" s="477" t="s">
        <v>326</v>
      </c>
      <c r="J61" s="346">
        <v>0.05</v>
      </c>
      <c r="K61" s="361">
        <f>$D$10*J61</f>
        <v>55893.839934646414</v>
      </c>
      <c r="P61" s="98"/>
    </row>
    <row r="62" spans="2:16" ht="189" customHeight="1" thickBot="1" x14ac:dyDescent="0.25">
      <c r="B62" s="471" t="s">
        <v>263</v>
      </c>
      <c r="C62" s="472" t="s">
        <v>5</v>
      </c>
      <c r="D62" s="623" t="s">
        <v>264</v>
      </c>
      <c r="E62" s="623"/>
      <c r="F62" s="623"/>
      <c r="G62" s="623"/>
      <c r="H62" s="477" t="s">
        <v>265</v>
      </c>
      <c r="I62" s="477" t="s">
        <v>266</v>
      </c>
      <c r="J62" s="346">
        <v>0.01</v>
      </c>
      <c r="K62" s="361">
        <f>$D$10*J62</f>
        <v>11178.767986929282</v>
      </c>
      <c r="P62" s="98"/>
    </row>
    <row r="63" spans="2:16" ht="34.5" customHeight="1" thickBot="1" x14ac:dyDescent="0.3">
      <c r="B63" s="649" t="s">
        <v>267</v>
      </c>
      <c r="C63" s="650"/>
      <c r="D63" s="650"/>
      <c r="E63" s="650"/>
      <c r="F63" s="650"/>
      <c r="G63" s="650"/>
      <c r="H63" s="651"/>
      <c r="I63" s="375"/>
      <c r="J63" s="362">
        <f>SUM(J28:J62)</f>
        <v>1</v>
      </c>
      <c r="K63" s="363">
        <f>SUM(K28:K62)</f>
        <v>1117876.7986929282</v>
      </c>
    </row>
    <row r="64" spans="2:16" ht="38.25" customHeight="1" x14ac:dyDescent="0.2">
      <c r="B64" s="95"/>
      <c r="C64" s="95"/>
      <c r="D64" s="99"/>
      <c r="E64" s="95"/>
      <c r="F64" s="95"/>
      <c r="G64" s="95"/>
      <c r="H64" s="95"/>
      <c r="I64" s="95"/>
      <c r="J64" s="96"/>
      <c r="K64" s="105"/>
    </row>
    <row r="65" spans="2:11" ht="21.75" customHeight="1" x14ac:dyDescent="0.2">
      <c r="B65" s="95"/>
      <c r="C65" s="95"/>
      <c r="D65" s="95"/>
      <c r="E65" s="95"/>
      <c r="F65" s="95"/>
      <c r="G65" s="95"/>
      <c r="H65" s="95"/>
      <c r="I65" s="95"/>
      <c r="J65" s="96"/>
      <c r="K65" s="105"/>
    </row>
    <row r="66" spans="2:11" ht="30" customHeight="1" x14ac:dyDescent="0.2">
      <c r="B66" s="95"/>
      <c r="C66" s="95"/>
      <c r="D66" s="95"/>
      <c r="E66" s="95"/>
      <c r="F66" s="95"/>
      <c r="G66" s="95"/>
      <c r="H66" s="95"/>
      <c r="I66" s="95"/>
      <c r="J66" s="96"/>
      <c r="K66" s="105"/>
    </row>
    <row r="67" spans="2:11" ht="18.75" customHeight="1" x14ac:dyDescent="0.2">
      <c r="B67" s="95"/>
      <c r="C67" s="95"/>
      <c r="D67" s="95"/>
      <c r="E67" s="95"/>
      <c r="F67" s="95"/>
      <c r="G67" s="95"/>
      <c r="H67" s="95"/>
      <c r="I67" s="95"/>
      <c r="J67" s="96"/>
      <c r="K67" s="105"/>
    </row>
    <row r="68" spans="2:11" ht="18.75" customHeight="1" x14ac:dyDescent="0.2">
      <c r="B68" s="95"/>
      <c r="C68" s="95"/>
      <c r="D68" s="95"/>
      <c r="E68" s="95"/>
      <c r="F68" s="95"/>
      <c r="G68" s="95"/>
      <c r="H68" s="95"/>
      <c r="I68" s="95"/>
      <c r="J68" s="96"/>
      <c r="K68" s="105"/>
    </row>
    <row r="69" spans="2:11" ht="18.75" customHeight="1" x14ac:dyDescent="0.2">
      <c r="B69" s="95"/>
      <c r="C69" s="95"/>
      <c r="D69" s="95"/>
      <c r="E69" s="95"/>
      <c r="F69" s="95"/>
      <c r="G69" s="95"/>
      <c r="H69" s="95"/>
      <c r="I69" s="95"/>
      <c r="J69" s="96"/>
      <c r="K69" s="105"/>
    </row>
    <row r="70" spans="2:11" ht="30.75" customHeight="1" x14ac:dyDescent="0.2">
      <c r="B70" s="95"/>
      <c r="C70" s="95"/>
      <c r="D70" s="95"/>
      <c r="E70" s="95"/>
      <c r="F70" s="95"/>
      <c r="G70" s="95"/>
      <c r="H70" s="95"/>
      <c r="I70" s="95"/>
      <c r="J70" s="96"/>
      <c r="K70" s="105"/>
    </row>
    <row r="71" spans="2:11" ht="18.75" customHeight="1" x14ac:dyDescent="0.2">
      <c r="B71" s="95"/>
      <c r="C71" s="95"/>
      <c r="D71" s="95"/>
      <c r="E71" s="95"/>
      <c r="F71" s="95"/>
      <c r="G71" s="95"/>
      <c r="H71" s="95"/>
      <c r="I71" s="95"/>
      <c r="J71" s="96"/>
      <c r="K71" s="105"/>
    </row>
    <row r="72" spans="2:11" ht="18.75" customHeight="1" x14ac:dyDescent="0.2">
      <c r="B72" s="95"/>
      <c r="C72" s="95"/>
      <c r="D72" s="95"/>
      <c r="E72" s="95"/>
      <c r="F72" s="95"/>
      <c r="G72" s="95"/>
      <c r="H72" s="95"/>
      <c r="I72" s="95"/>
      <c r="J72" s="96"/>
      <c r="K72" s="105"/>
    </row>
    <row r="73" spans="2:11" ht="18.75" customHeight="1" x14ac:dyDescent="0.2">
      <c r="B73" s="95"/>
      <c r="C73" s="95"/>
      <c r="D73" s="95"/>
      <c r="E73" s="95"/>
      <c r="F73" s="95"/>
      <c r="G73" s="95"/>
      <c r="H73" s="95"/>
      <c r="I73" s="95"/>
      <c r="J73" s="96"/>
      <c r="K73" s="105"/>
    </row>
    <row r="74" spans="2:11" ht="23.25" customHeight="1" x14ac:dyDescent="0.2">
      <c r="B74" s="95"/>
      <c r="C74" s="95"/>
      <c r="D74" s="95"/>
      <c r="E74" s="95"/>
      <c r="F74" s="95"/>
      <c r="G74" s="95"/>
      <c r="H74" s="95"/>
      <c r="I74" s="95"/>
      <c r="J74" s="96"/>
      <c r="K74" s="105"/>
    </row>
    <row r="75" spans="2:11" ht="19.5" customHeight="1" x14ac:dyDescent="0.2">
      <c r="B75" s="95"/>
      <c r="C75" s="95"/>
      <c r="D75" s="95"/>
      <c r="E75" s="95"/>
      <c r="F75" s="95"/>
      <c r="G75" s="95"/>
      <c r="H75" s="95"/>
      <c r="I75" s="95"/>
      <c r="J75" s="96"/>
      <c r="K75" s="105"/>
    </row>
    <row r="76" spans="2:11" ht="14.25" x14ac:dyDescent="0.2">
      <c r="B76" s="95"/>
      <c r="C76" s="95"/>
      <c r="D76" s="95"/>
      <c r="E76" s="95"/>
      <c r="F76" s="95"/>
      <c r="G76" s="95"/>
      <c r="H76" s="95"/>
      <c r="I76" s="95"/>
      <c r="J76" s="96"/>
      <c r="K76" s="105"/>
    </row>
    <row r="77" spans="2:11" ht="14.25" x14ac:dyDescent="0.2">
      <c r="B77" s="95"/>
      <c r="C77" s="95"/>
      <c r="D77" s="95"/>
      <c r="E77" s="95"/>
      <c r="F77" s="95"/>
      <c r="G77" s="95"/>
      <c r="H77" s="95"/>
      <c r="I77" s="95"/>
      <c r="J77" s="96"/>
      <c r="K77" s="105"/>
    </row>
    <row r="78" spans="2:11" ht="14.25" x14ac:dyDescent="0.2">
      <c r="B78" s="95"/>
      <c r="C78" s="95"/>
      <c r="D78" s="95"/>
      <c r="E78" s="95"/>
      <c r="F78" s="95"/>
      <c r="G78" s="95"/>
      <c r="H78" s="95"/>
      <c r="I78" s="95"/>
      <c r="J78" s="96"/>
      <c r="K78" s="105"/>
    </row>
    <row r="79" spans="2:11" ht="14.25" x14ac:dyDescent="0.2">
      <c r="B79" s="95"/>
      <c r="C79" s="95"/>
      <c r="D79" s="95"/>
      <c r="E79" s="95"/>
      <c r="F79" s="95"/>
      <c r="G79" s="95"/>
      <c r="H79" s="95"/>
      <c r="I79" s="95"/>
      <c r="J79" s="96"/>
      <c r="K79" s="105"/>
    </row>
    <row r="80" spans="2:11" ht="14.25" x14ac:dyDescent="0.2">
      <c r="B80" s="95"/>
      <c r="C80" s="95"/>
      <c r="D80" s="95"/>
      <c r="E80" s="95"/>
      <c r="F80" s="95"/>
      <c r="G80" s="95"/>
      <c r="H80" s="95"/>
      <c r="I80" s="95"/>
      <c r="J80" s="96"/>
      <c r="K80" s="105"/>
    </row>
    <row r="81" spans="2:11" ht="14.25" x14ac:dyDescent="0.2">
      <c r="B81" s="95"/>
      <c r="C81" s="95"/>
      <c r="D81" s="95"/>
      <c r="E81" s="95"/>
      <c r="F81" s="95"/>
      <c r="G81" s="95"/>
      <c r="H81" s="95"/>
      <c r="I81" s="95"/>
      <c r="J81" s="96"/>
      <c r="K81" s="105"/>
    </row>
    <row r="82" spans="2:11" ht="14.25" x14ac:dyDescent="0.2">
      <c r="B82" s="95"/>
      <c r="C82" s="95"/>
      <c r="D82" s="95"/>
      <c r="E82" s="95"/>
      <c r="F82" s="95"/>
      <c r="G82" s="95"/>
      <c r="H82" s="95"/>
      <c r="I82" s="95"/>
      <c r="J82" s="96"/>
      <c r="K82" s="105"/>
    </row>
    <row r="83" spans="2:11" ht="14.25" x14ac:dyDescent="0.2">
      <c r="B83" s="95"/>
      <c r="C83" s="95"/>
      <c r="D83" s="95"/>
      <c r="E83" s="95"/>
      <c r="F83" s="95"/>
      <c r="G83" s="95"/>
      <c r="H83" s="95"/>
      <c r="I83" s="95"/>
      <c r="J83" s="96"/>
      <c r="K83" s="105"/>
    </row>
    <row r="84" spans="2:11" ht="14.25" x14ac:dyDescent="0.2">
      <c r="B84" s="95"/>
      <c r="C84" s="95"/>
      <c r="D84" s="95"/>
      <c r="E84" s="95"/>
      <c r="F84" s="95"/>
      <c r="G84" s="95"/>
      <c r="H84" s="95"/>
      <c r="I84" s="95"/>
      <c r="J84" s="96"/>
      <c r="K84" s="105"/>
    </row>
    <row r="85" spans="2:11" ht="14.25" x14ac:dyDescent="0.2">
      <c r="B85" s="95"/>
      <c r="C85" s="95"/>
      <c r="D85" s="95"/>
      <c r="E85" s="95"/>
      <c r="F85" s="95"/>
      <c r="G85" s="95"/>
      <c r="H85" s="95"/>
      <c r="I85" s="95"/>
      <c r="J85" s="96"/>
      <c r="K85" s="105"/>
    </row>
    <row r="86" spans="2:11" ht="14.25" x14ac:dyDescent="0.2">
      <c r="B86" s="95"/>
      <c r="C86" s="95"/>
      <c r="D86" s="95"/>
      <c r="E86" s="95"/>
      <c r="F86" s="95"/>
      <c r="G86" s="95"/>
      <c r="H86" s="95"/>
      <c r="I86" s="95"/>
      <c r="J86" s="96"/>
      <c r="K86" s="105"/>
    </row>
    <row r="87" spans="2:11" ht="14.25" x14ac:dyDescent="0.2">
      <c r="B87" s="95"/>
      <c r="C87" s="95"/>
      <c r="D87" s="95"/>
      <c r="E87" s="95"/>
      <c r="F87" s="95"/>
      <c r="G87" s="95"/>
      <c r="H87" s="95"/>
      <c r="I87" s="95"/>
      <c r="J87" s="96"/>
      <c r="K87" s="105"/>
    </row>
  </sheetData>
  <mergeCells count="71">
    <mergeCell ref="B2:E2"/>
    <mergeCell ref="B4:K4"/>
    <mergeCell ref="B5:D5"/>
    <mergeCell ref="B17:D18"/>
    <mergeCell ref="B23:C23"/>
    <mergeCell ref="D23:G24"/>
    <mergeCell ref="H23:K23"/>
    <mergeCell ref="B24:C24"/>
    <mergeCell ref="B25:K25"/>
    <mergeCell ref="B26:C27"/>
    <mergeCell ref="D26:D27"/>
    <mergeCell ref="E26:F27"/>
    <mergeCell ref="G26:G27"/>
    <mergeCell ref="H26:H27"/>
    <mergeCell ref="I26:I27"/>
    <mergeCell ref="J26:J27"/>
    <mergeCell ref="K26:K27"/>
    <mergeCell ref="B28:B39"/>
    <mergeCell ref="C28:C39"/>
    <mergeCell ref="D28:G29"/>
    <mergeCell ref="H28:H39"/>
    <mergeCell ref="I28:I32"/>
    <mergeCell ref="K28:K39"/>
    <mergeCell ref="E30:F30"/>
    <mergeCell ref="E31:F31"/>
    <mergeCell ref="E32:F32"/>
    <mergeCell ref="E33:F33"/>
    <mergeCell ref="I33:I39"/>
    <mergeCell ref="E34:F34"/>
    <mergeCell ref="E35:F35"/>
    <mergeCell ref="D36:G36"/>
    <mergeCell ref="D39:G39"/>
    <mergeCell ref="J28:J39"/>
    <mergeCell ref="D40:G40"/>
    <mergeCell ref="D41:G41"/>
    <mergeCell ref="D42:G42"/>
    <mergeCell ref="C43:K43"/>
    <mergeCell ref="B44:C45"/>
    <mergeCell ref="D44:D45"/>
    <mergeCell ref="E44:F45"/>
    <mergeCell ref="G44:G45"/>
    <mergeCell ref="H44:H45"/>
    <mergeCell ref="I44:I45"/>
    <mergeCell ref="J44:J45"/>
    <mergeCell ref="K44:K45"/>
    <mergeCell ref="B46:B54"/>
    <mergeCell ref="C46:C54"/>
    <mergeCell ref="E46:F46"/>
    <mergeCell ref="H46:H54"/>
    <mergeCell ref="I46:I47"/>
    <mergeCell ref="J46:J54"/>
    <mergeCell ref="K46:K54"/>
    <mergeCell ref="E47:F47"/>
    <mergeCell ref="E48:F48"/>
    <mergeCell ref="I48:I54"/>
    <mergeCell ref="E49:F49"/>
    <mergeCell ref="E50:F50"/>
    <mergeCell ref="G52:G53"/>
    <mergeCell ref="E53:F53"/>
    <mergeCell ref="D54:G54"/>
    <mergeCell ref="D55:G55"/>
    <mergeCell ref="B56:B60"/>
    <mergeCell ref="C56:C60"/>
    <mergeCell ref="D56:G60"/>
    <mergeCell ref="H56:H60"/>
    <mergeCell ref="J56:J60"/>
    <mergeCell ref="K56:K60"/>
    <mergeCell ref="D61:G61"/>
    <mergeCell ref="D62:G62"/>
    <mergeCell ref="B63:H63"/>
    <mergeCell ref="I56:I60"/>
  </mergeCells>
  <printOptions horizontalCentered="1"/>
  <pageMargins left="0" right="0" top="1" bottom="0.5" header="0.5" footer="0.5"/>
  <pageSetup scale="60" fitToHeight="5" orientation="landscape"/>
  <headerFooter alignWithMargins="0">
    <oddHeader xml:space="preserve">&amp;C&amp;"Arial,Bold"&amp;14
</oddHeader>
    <oddFooter xml:space="preserve">&amp;CTotals may vary due to rounding
</oddFooter>
  </headerFooter>
  <rowBreaks count="2" manualBreakCount="2">
    <brk id="22" min="1" max="12" man="1"/>
    <brk id="43" max="16383" man="1"/>
  </rowBreaks>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5D14F3-B75C-4011-9980-F8E36DFF6366}">
  <sheetPr>
    <tabColor rgb="FFFF66FF"/>
  </sheetPr>
  <dimension ref="B2:Q87"/>
  <sheetViews>
    <sheetView showGridLines="0" topLeftCell="A46" zoomScale="75" zoomScaleNormal="75" zoomScalePageLayoutView="80" workbookViewId="0">
      <selection activeCell="D56" sqref="D56:G61"/>
    </sheetView>
  </sheetViews>
  <sheetFormatPr defaultRowHeight="12.75" x14ac:dyDescent="0.2"/>
  <cols>
    <col min="2" max="2" width="24.7109375" customWidth="1"/>
    <col min="3" max="3" width="17.85546875" style="80" customWidth="1"/>
    <col min="4" max="4" width="33.140625" customWidth="1"/>
    <col min="5" max="5" width="17.85546875" customWidth="1"/>
    <col min="6" max="6" width="9" customWidth="1"/>
    <col min="7" max="7" width="23.28515625" customWidth="1"/>
    <col min="8" max="8" width="22.42578125" customWidth="1"/>
    <col min="9" max="9" width="31.5703125" style="80" customWidth="1"/>
    <col min="10" max="10" width="13.28515625" style="370" customWidth="1"/>
    <col min="11" max="11" width="16" style="104" customWidth="1"/>
    <col min="14" max="14" width="7.5703125" customWidth="1"/>
    <col min="15" max="15" width="0.5703125" customWidth="1"/>
    <col min="16" max="16" width="11.5703125" bestFit="1" customWidth="1"/>
    <col min="256" max="256" width="24.7109375" customWidth="1"/>
    <col min="257" max="257" width="17.85546875" customWidth="1"/>
    <col min="258" max="258" width="20.7109375" customWidth="1"/>
    <col min="259" max="259" width="16.5703125" customWidth="1"/>
    <col min="260" max="260" width="7.140625" customWidth="1"/>
    <col min="261" max="261" width="15.140625" customWidth="1"/>
    <col min="262" max="262" width="6.28515625" customWidth="1"/>
    <col min="263" max="263" width="19.7109375" customWidth="1"/>
    <col min="264" max="264" width="22.42578125" customWidth="1"/>
    <col min="265" max="265" width="31.5703125" customWidth="1"/>
    <col min="266" max="266" width="10.85546875" customWidth="1"/>
    <col min="267" max="267" width="16" customWidth="1"/>
    <col min="270" max="270" width="7.5703125" customWidth="1"/>
    <col min="271" max="271" width="0.5703125" customWidth="1"/>
    <col min="272" max="272" width="11.5703125" bestFit="1" customWidth="1"/>
    <col min="512" max="512" width="24.7109375" customWidth="1"/>
    <col min="513" max="513" width="17.85546875" customWidth="1"/>
    <col min="514" max="514" width="20.7109375" customWidth="1"/>
    <col min="515" max="515" width="16.5703125" customWidth="1"/>
    <col min="516" max="516" width="7.140625" customWidth="1"/>
    <col min="517" max="517" width="15.140625" customWidth="1"/>
    <col min="518" max="518" width="6.28515625" customWidth="1"/>
    <col min="519" max="519" width="19.7109375" customWidth="1"/>
    <col min="520" max="520" width="22.42578125" customWidth="1"/>
    <col min="521" max="521" width="31.5703125" customWidth="1"/>
    <col min="522" max="522" width="10.85546875" customWidth="1"/>
    <col min="523" max="523" width="16" customWidth="1"/>
    <col min="526" max="526" width="7.5703125" customWidth="1"/>
    <col min="527" max="527" width="0.5703125" customWidth="1"/>
    <col min="528" max="528" width="11.5703125" bestFit="1" customWidth="1"/>
    <col min="768" max="768" width="24.7109375" customWidth="1"/>
    <col min="769" max="769" width="17.85546875" customWidth="1"/>
    <col min="770" max="770" width="20.7109375" customWidth="1"/>
    <col min="771" max="771" width="16.5703125" customWidth="1"/>
    <col min="772" max="772" width="7.140625" customWidth="1"/>
    <col min="773" max="773" width="15.140625" customWidth="1"/>
    <col min="774" max="774" width="6.28515625" customWidth="1"/>
    <col min="775" max="775" width="19.7109375" customWidth="1"/>
    <col min="776" max="776" width="22.42578125" customWidth="1"/>
    <col min="777" max="777" width="31.5703125" customWidth="1"/>
    <col min="778" max="778" width="10.85546875" customWidth="1"/>
    <col min="779" max="779" width="16" customWidth="1"/>
    <col min="782" max="782" width="7.5703125" customWidth="1"/>
    <col min="783" max="783" width="0.5703125" customWidth="1"/>
    <col min="784" max="784" width="11.5703125" bestFit="1" customWidth="1"/>
    <col min="1024" max="1024" width="24.7109375" customWidth="1"/>
    <col min="1025" max="1025" width="17.85546875" customWidth="1"/>
    <col min="1026" max="1026" width="20.7109375" customWidth="1"/>
    <col min="1027" max="1027" width="16.5703125" customWidth="1"/>
    <col min="1028" max="1028" width="7.140625" customWidth="1"/>
    <col min="1029" max="1029" width="15.140625" customWidth="1"/>
    <col min="1030" max="1030" width="6.28515625" customWidth="1"/>
    <col min="1031" max="1031" width="19.7109375" customWidth="1"/>
    <col min="1032" max="1032" width="22.42578125" customWidth="1"/>
    <col min="1033" max="1033" width="31.5703125" customWidth="1"/>
    <col min="1034" max="1034" width="10.85546875" customWidth="1"/>
    <col min="1035" max="1035" width="16" customWidth="1"/>
    <col min="1038" max="1038" width="7.5703125" customWidth="1"/>
    <col min="1039" max="1039" width="0.5703125" customWidth="1"/>
    <col min="1040" max="1040" width="11.5703125" bestFit="1" customWidth="1"/>
    <col min="1280" max="1280" width="24.7109375" customWidth="1"/>
    <col min="1281" max="1281" width="17.85546875" customWidth="1"/>
    <col min="1282" max="1282" width="20.7109375" customWidth="1"/>
    <col min="1283" max="1283" width="16.5703125" customWidth="1"/>
    <col min="1284" max="1284" width="7.140625" customWidth="1"/>
    <col min="1285" max="1285" width="15.140625" customWidth="1"/>
    <col min="1286" max="1286" width="6.28515625" customWidth="1"/>
    <col min="1287" max="1287" width="19.7109375" customWidth="1"/>
    <col min="1288" max="1288" width="22.42578125" customWidth="1"/>
    <col min="1289" max="1289" width="31.5703125" customWidth="1"/>
    <col min="1290" max="1290" width="10.85546875" customWidth="1"/>
    <col min="1291" max="1291" width="16" customWidth="1"/>
    <col min="1294" max="1294" width="7.5703125" customWidth="1"/>
    <col min="1295" max="1295" width="0.5703125" customWidth="1"/>
    <col min="1296" max="1296" width="11.5703125" bestFit="1" customWidth="1"/>
    <col min="1536" max="1536" width="24.7109375" customWidth="1"/>
    <col min="1537" max="1537" width="17.85546875" customWidth="1"/>
    <col min="1538" max="1538" width="20.7109375" customWidth="1"/>
    <col min="1539" max="1539" width="16.5703125" customWidth="1"/>
    <col min="1540" max="1540" width="7.140625" customWidth="1"/>
    <col min="1541" max="1541" width="15.140625" customWidth="1"/>
    <col min="1542" max="1542" width="6.28515625" customWidth="1"/>
    <col min="1543" max="1543" width="19.7109375" customWidth="1"/>
    <col min="1544" max="1544" width="22.42578125" customWidth="1"/>
    <col min="1545" max="1545" width="31.5703125" customWidth="1"/>
    <col min="1546" max="1546" width="10.85546875" customWidth="1"/>
    <col min="1547" max="1547" width="16" customWidth="1"/>
    <col min="1550" max="1550" width="7.5703125" customWidth="1"/>
    <col min="1551" max="1551" width="0.5703125" customWidth="1"/>
    <col min="1552" max="1552" width="11.5703125" bestFit="1" customWidth="1"/>
    <col min="1792" max="1792" width="24.7109375" customWidth="1"/>
    <col min="1793" max="1793" width="17.85546875" customWidth="1"/>
    <col min="1794" max="1794" width="20.7109375" customWidth="1"/>
    <col min="1795" max="1795" width="16.5703125" customWidth="1"/>
    <col min="1796" max="1796" width="7.140625" customWidth="1"/>
    <col min="1797" max="1797" width="15.140625" customWidth="1"/>
    <col min="1798" max="1798" width="6.28515625" customWidth="1"/>
    <col min="1799" max="1799" width="19.7109375" customWidth="1"/>
    <col min="1800" max="1800" width="22.42578125" customWidth="1"/>
    <col min="1801" max="1801" width="31.5703125" customWidth="1"/>
    <col min="1802" max="1802" width="10.85546875" customWidth="1"/>
    <col min="1803" max="1803" width="16" customWidth="1"/>
    <col min="1806" max="1806" width="7.5703125" customWidth="1"/>
    <col min="1807" max="1807" width="0.5703125" customWidth="1"/>
    <col min="1808" max="1808" width="11.5703125" bestFit="1" customWidth="1"/>
    <col min="2048" max="2048" width="24.7109375" customWidth="1"/>
    <col min="2049" max="2049" width="17.85546875" customWidth="1"/>
    <col min="2050" max="2050" width="20.7109375" customWidth="1"/>
    <col min="2051" max="2051" width="16.5703125" customWidth="1"/>
    <col min="2052" max="2052" width="7.140625" customWidth="1"/>
    <col min="2053" max="2053" width="15.140625" customWidth="1"/>
    <col min="2054" max="2054" width="6.28515625" customWidth="1"/>
    <col min="2055" max="2055" width="19.7109375" customWidth="1"/>
    <col min="2056" max="2056" width="22.42578125" customWidth="1"/>
    <col min="2057" max="2057" width="31.5703125" customWidth="1"/>
    <col min="2058" max="2058" width="10.85546875" customWidth="1"/>
    <col min="2059" max="2059" width="16" customWidth="1"/>
    <col min="2062" max="2062" width="7.5703125" customWidth="1"/>
    <col min="2063" max="2063" width="0.5703125" customWidth="1"/>
    <col min="2064" max="2064" width="11.5703125" bestFit="1" customWidth="1"/>
    <col min="2304" max="2304" width="24.7109375" customWidth="1"/>
    <col min="2305" max="2305" width="17.85546875" customWidth="1"/>
    <col min="2306" max="2306" width="20.7109375" customWidth="1"/>
    <col min="2307" max="2307" width="16.5703125" customWidth="1"/>
    <col min="2308" max="2308" width="7.140625" customWidth="1"/>
    <col min="2309" max="2309" width="15.140625" customWidth="1"/>
    <col min="2310" max="2310" width="6.28515625" customWidth="1"/>
    <col min="2311" max="2311" width="19.7109375" customWidth="1"/>
    <col min="2312" max="2312" width="22.42578125" customWidth="1"/>
    <col min="2313" max="2313" width="31.5703125" customWidth="1"/>
    <col min="2314" max="2314" width="10.85546875" customWidth="1"/>
    <col min="2315" max="2315" width="16" customWidth="1"/>
    <col min="2318" max="2318" width="7.5703125" customWidth="1"/>
    <col min="2319" max="2319" width="0.5703125" customWidth="1"/>
    <col min="2320" max="2320" width="11.5703125" bestFit="1" customWidth="1"/>
    <col min="2560" max="2560" width="24.7109375" customWidth="1"/>
    <col min="2561" max="2561" width="17.85546875" customWidth="1"/>
    <col min="2562" max="2562" width="20.7109375" customWidth="1"/>
    <col min="2563" max="2563" width="16.5703125" customWidth="1"/>
    <col min="2564" max="2564" width="7.140625" customWidth="1"/>
    <col min="2565" max="2565" width="15.140625" customWidth="1"/>
    <col min="2566" max="2566" width="6.28515625" customWidth="1"/>
    <col min="2567" max="2567" width="19.7109375" customWidth="1"/>
    <col min="2568" max="2568" width="22.42578125" customWidth="1"/>
    <col min="2569" max="2569" width="31.5703125" customWidth="1"/>
    <col min="2570" max="2570" width="10.85546875" customWidth="1"/>
    <col min="2571" max="2571" width="16" customWidth="1"/>
    <col min="2574" max="2574" width="7.5703125" customWidth="1"/>
    <col min="2575" max="2575" width="0.5703125" customWidth="1"/>
    <col min="2576" max="2576" width="11.5703125" bestFit="1" customWidth="1"/>
    <col min="2816" max="2816" width="24.7109375" customWidth="1"/>
    <col min="2817" max="2817" width="17.85546875" customWidth="1"/>
    <col min="2818" max="2818" width="20.7109375" customWidth="1"/>
    <col min="2819" max="2819" width="16.5703125" customWidth="1"/>
    <col min="2820" max="2820" width="7.140625" customWidth="1"/>
    <col min="2821" max="2821" width="15.140625" customWidth="1"/>
    <col min="2822" max="2822" width="6.28515625" customWidth="1"/>
    <col min="2823" max="2823" width="19.7109375" customWidth="1"/>
    <col min="2824" max="2824" width="22.42578125" customWidth="1"/>
    <col min="2825" max="2825" width="31.5703125" customWidth="1"/>
    <col min="2826" max="2826" width="10.85546875" customWidth="1"/>
    <col min="2827" max="2827" width="16" customWidth="1"/>
    <col min="2830" max="2830" width="7.5703125" customWidth="1"/>
    <col min="2831" max="2831" width="0.5703125" customWidth="1"/>
    <col min="2832" max="2832" width="11.5703125" bestFit="1" customWidth="1"/>
    <col min="3072" max="3072" width="24.7109375" customWidth="1"/>
    <col min="3073" max="3073" width="17.85546875" customWidth="1"/>
    <col min="3074" max="3074" width="20.7109375" customWidth="1"/>
    <col min="3075" max="3075" width="16.5703125" customWidth="1"/>
    <col min="3076" max="3076" width="7.140625" customWidth="1"/>
    <col min="3077" max="3077" width="15.140625" customWidth="1"/>
    <col min="3078" max="3078" width="6.28515625" customWidth="1"/>
    <col min="3079" max="3079" width="19.7109375" customWidth="1"/>
    <col min="3080" max="3080" width="22.42578125" customWidth="1"/>
    <col min="3081" max="3081" width="31.5703125" customWidth="1"/>
    <col min="3082" max="3082" width="10.85546875" customWidth="1"/>
    <col min="3083" max="3083" width="16" customWidth="1"/>
    <col min="3086" max="3086" width="7.5703125" customWidth="1"/>
    <col min="3087" max="3087" width="0.5703125" customWidth="1"/>
    <col min="3088" max="3088" width="11.5703125" bestFit="1" customWidth="1"/>
    <col min="3328" max="3328" width="24.7109375" customWidth="1"/>
    <col min="3329" max="3329" width="17.85546875" customWidth="1"/>
    <col min="3330" max="3330" width="20.7109375" customWidth="1"/>
    <col min="3331" max="3331" width="16.5703125" customWidth="1"/>
    <col min="3332" max="3332" width="7.140625" customWidth="1"/>
    <col min="3333" max="3333" width="15.140625" customWidth="1"/>
    <col min="3334" max="3334" width="6.28515625" customWidth="1"/>
    <col min="3335" max="3335" width="19.7109375" customWidth="1"/>
    <col min="3336" max="3336" width="22.42578125" customWidth="1"/>
    <col min="3337" max="3337" width="31.5703125" customWidth="1"/>
    <col min="3338" max="3338" width="10.85546875" customWidth="1"/>
    <col min="3339" max="3339" width="16" customWidth="1"/>
    <col min="3342" max="3342" width="7.5703125" customWidth="1"/>
    <col min="3343" max="3343" width="0.5703125" customWidth="1"/>
    <col min="3344" max="3344" width="11.5703125" bestFit="1" customWidth="1"/>
    <col min="3584" max="3584" width="24.7109375" customWidth="1"/>
    <col min="3585" max="3585" width="17.85546875" customWidth="1"/>
    <col min="3586" max="3586" width="20.7109375" customWidth="1"/>
    <col min="3587" max="3587" width="16.5703125" customWidth="1"/>
    <col min="3588" max="3588" width="7.140625" customWidth="1"/>
    <col min="3589" max="3589" width="15.140625" customWidth="1"/>
    <col min="3590" max="3590" width="6.28515625" customWidth="1"/>
    <col min="3591" max="3591" width="19.7109375" customWidth="1"/>
    <col min="3592" max="3592" width="22.42578125" customWidth="1"/>
    <col min="3593" max="3593" width="31.5703125" customWidth="1"/>
    <col min="3594" max="3594" width="10.85546875" customWidth="1"/>
    <col min="3595" max="3595" width="16" customWidth="1"/>
    <col min="3598" max="3598" width="7.5703125" customWidth="1"/>
    <col min="3599" max="3599" width="0.5703125" customWidth="1"/>
    <col min="3600" max="3600" width="11.5703125" bestFit="1" customWidth="1"/>
    <col min="3840" max="3840" width="24.7109375" customWidth="1"/>
    <col min="3841" max="3841" width="17.85546875" customWidth="1"/>
    <col min="3842" max="3842" width="20.7109375" customWidth="1"/>
    <col min="3843" max="3843" width="16.5703125" customWidth="1"/>
    <col min="3844" max="3844" width="7.140625" customWidth="1"/>
    <col min="3845" max="3845" width="15.140625" customWidth="1"/>
    <col min="3846" max="3846" width="6.28515625" customWidth="1"/>
    <col min="3847" max="3847" width="19.7109375" customWidth="1"/>
    <col min="3848" max="3848" width="22.42578125" customWidth="1"/>
    <col min="3849" max="3849" width="31.5703125" customWidth="1"/>
    <col min="3850" max="3850" width="10.85546875" customWidth="1"/>
    <col min="3851" max="3851" width="16" customWidth="1"/>
    <col min="3854" max="3854" width="7.5703125" customWidth="1"/>
    <col min="3855" max="3855" width="0.5703125" customWidth="1"/>
    <col min="3856" max="3856" width="11.5703125" bestFit="1" customWidth="1"/>
    <col min="4096" max="4096" width="24.7109375" customWidth="1"/>
    <col min="4097" max="4097" width="17.85546875" customWidth="1"/>
    <col min="4098" max="4098" width="20.7109375" customWidth="1"/>
    <col min="4099" max="4099" width="16.5703125" customWidth="1"/>
    <col min="4100" max="4100" width="7.140625" customWidth="1"/>
    <col min="4101" max="4101" width="15.140625" customWidth="1"/>
    <col min="4102" max="4102" width="6.28515625" customWidth="1"/>
    <col min="4103" max="4103" width="19.7109375" customWidth="1"/>
    <col min="4104" max="4104" width="22.42578125" customWidth="1"/>
    <col min="4105" max="4105" width="31.5703125" customWidth="1"/>
    <col min="4106" max="4106" width="10.85546875" customWidth="1"/>
    <col min="4107" max="4107" width="16" customWidth="1"/>
    <col min="4110" max="4110" width="7.5703125" customWidth="1"/>
    <col min="4111" max="4111" width="0.5703125" customWidth="1"/>
    <col min="4112" max="4112" width="11.5703125" bestFit="1" customWidth="1"/>
    <col min="4352" max="4352" width="24.7109375" customWidth="1"/>
    <col min="4353" max="4353" width="17.85546875" customWidth="1"/>
    <col min="4354" max="4354" width="20.7109375" customWidth="1"/>
    <col min="4355" max="4355" width="16.5703125" customWidth="1"/>
    <col min="4356" max="4356" width="7.140625" customWidth="1"/>
    <col min="4357" max="4357" width="15.140625" customWidth="1"/>
    <col min="4358" max="4358" width="6.28515625" customWidth="1"/>
    <col min="4359" max="4359" width="19.7109375" customWidth="1"/>
    <col min="4360" max="4360" width="22.42578125" customWidth="1"/>
    <col min="4361" max="4361" width="31.5703125" customWidth="1"/>
    <col min="4362" max="4362" width="10.85546875" customWidth="1"/>
    <col min="4363" max="4363" width="16" customWidth="1"/>
    <col min="4366" max="4366" width="7.5703125" customWidth="1"/>
    <col min="4367" max="4367" width="0.5703125" customWidth="1"/>
    <col min="4368" max="4368" width="11.5703125" bestFit="1" customWidth="1"/>
    <col min="4608" max="4608" width="24.7109375" customWidth="1"/>
    <col min="4609" max="4609" width="17.85546875" customWidth="1"/>
    <col min="4610" max="4610" width="20.7109375" customWidth="1"/>
    <col min="4611" max="4611" width="16.5703125" customWidth="1"/>
    <col min="4612" max="4612" width="7.140625" customWidth="1"/>
    <col min="4613" max="4613" width="15.140625" customWidth="1"/>
    <col min="4614" max="4614" width="6.28515625" customWidth="1"/>
    <col min="4615" max="4615" width="19.7109375" customWidth="1"/>
    <col min="4616" max="4616" width="22.42578125" customWidth="1"/>
    <col min="4617" max="4617" width="31.5703125" customWidth="1"/>
    <col min="4618" max="4618" width="10.85546875" customWidth="1"/>
    <col min="4619" max="4619" width="16" customWidth="1"/>
    <col min="4622" max="4622" width="7.5703125" customWidth="1"/>
    <col min="4623" max="4623" width="0.5703125" customWidth="1"/>
    <col min="4624" max="4624" width="11.5703125" bestFit="1" customWidth="1"/>
    <col min="4864" max="4864" width="24.7109375" customWidth="1"/>
    <col min="4865" max="4865" width="17.85546875" customWidth="1"/>
    <col min="4866" max="4866" width="20.7109375" customWidth="1"/>
    <col min="4867" max="4867" width="16.5703125" customWidth="1"/>
    <col min="4868" max="4868" width="7.140625" customWidth="1"/>
    <col min="4869" max="4869" width="15.140625" customWidth="1"/>
    <col min="4870" max="4870" width="6.28515625" customWidth="1"/>
    <col min="4871" max="4871" width="19.7109375" customWidth="1"/>
    <col min="4872" max="4872" width="22.42578125" customWidth="1"/>
    <col min="4873" max="4873" width="31.5703125" customWidth="1"/>
    <col min="4874" max="4874" width="10.85546875" customWidth="1"/>
    <col min="4875" max="4875" width="16" customWidth="1"/>
    <col min="4878" max="4878" width="7.5703125" customWidth="1"/>
    <col min="4879" max="4879" width="0.5703125" customWidth="1"/>
    <col min="4880" max="4880" width="11.5703125" bestFit="1" customWidth="1"/>
    <col min="5120" max="5120" width="24.7109375" customWidth="1"/>
    <col min="5121" max="5121" width="17.85546875" customWidth="1"/>
    <col min="5122" max="5122" width="20.7109375" customWidth="1"/>
    <col min="5123" max="5123" width="16.5703125" customWidth="1"/>
    <col min="5124" max="5124" width="7.140625" customWidth="1"/>
    <col min="5125" max="5125" width="15.140625" customWidth="1"/>
    <col min="5126" max="5126" width="6.28515625" customWidth="1"/>
    <col min="5127" max="5127" width="19.7109375" customWidth="1"/>
    <col min="5128" max="5128" width="22.42578125" customWidth="1"/>
    <col min="5129" max="5129" width="31.5703125" customWidth="1"/>
    <col min="5130" max="5130" width="10.85546875" customWidth="1"/>
    <col min="5131" max="5131" width="16" customWidth="1"/>
    <col min="5134" max="5134" width="7.5703125" customWidth="1"/>
    <col min="5135" max="5135" width="0.5703125" customWidth="1"/>
    <col min="5136" max="5136" width="11.5703125" bestFit="1" customWidth="1"/>
    <col min="5376" max="5376" width="24.7109375" customWidth="1"/>
    <col min="5377" max="5377" width="17.85546875" customWidth="1"/>
    <col min="5378" max="5378" width="20.7109375" customWidth="1"/>
    <col min="5379" max="5379" width="16.5703125" customWidth="1"/>
    <col min="5380" max="5380" width="7.140625" customWidth="1"/>
    <col min="5381" max="5381" width="15.140625" customWidth="1"/>
    <col min="5382" max="5382" width="6.28515625" customWidth="1"/>
    <col min="5383" max="5383" width="19.7109375" customWidth="1"/>
    <col min="5384" max="5384" width="22.42578125" customWidth="1"/>
    <col min="5385" max="5385" width="31.5703125" customWidth="1"/>
    <col min="5386" max="5386" width="10.85546875" customWidth="1"/>
    <col min="5387" max="5387" width="16" customWidth="1"/>
    <col min="5390" max="5390" width="7.5703125" customWidth="1"/>
    <col min="5391" max="5391" width="0.5703125" customWidth="1"/>
    <col min="5392" max="5392" width="11.5703125" bestFit="1" customWidth="1"/>
    <col min="5632" max="5632" width="24.7109375" customWidth="1"/>
    <col min="5633" max="5633" width="17.85546875" customWidth="1"/>
    <col min="5634" max="5634" width="20.7109375" customWidth="1"/>
    <col min="5635" max="5635" width="16.5703125" customWidth="1"/>
    <col min="5636" max="5636" width="7.140625" customWidth="1"/>
    <col min="5637" max="5637" width="15.140625" customWidth="1"/>
    <col min="5638" max="5638" width="6.28515625" customWidth="1"/>
    <col min="5639" max="5639" width="19.7109375" customWidth="1"/>
    <col min="5640" max="5640" width="22.42578125" customWidth="1"/>
    <col min="5641" max="5641" width="31.5703125" customWidth="1"/>
    <col min="5642" max="5642" width="10.85546875" customWidth="1"/>
    <col min="5643" max="5643" width="16" customWidth="1"/>
    <col min="5646" max="5646" width="7.5703125" customWidth="1"/>
    <col min="5647" max="5647" width="0.5703125" customWidth="1"/>
    <col min="5648" max="5648" width="11.5703125" bestFit="1" customWidth="1"/>
    <col min="5888" max="5888" width="24.7109375" customWidth="1"/>
    <col min="5889" max="5889" width="17.85546875" customWidth="1"/>
    <col min="5890" max="5890" width="20.7109375" customWidth="1"/>
    <col min="5891" max="5891" width="16.5703125" customWidth="1"/>
    <col min="5892" max="5892" width="7.140625" customWidth="1"/>
    <col min="5893" max="5893" width="15.140625" customWidth="1"/>
    <col min="5894" max="5894" width="6.28515625" customWidth="1"/>
    <col min="5895" max="5895" width="19.7109375" customWidth="1"/>
    <col min="5896" max="5896" width="22.42578125" customWidth="1"/>
    <col min="5897" max="5897" width="31.5703125" customWidth="1"/>
    <col min="5898" max="5898" width="10.85546875" customWidth="1"/>
    <col min="5899" max="5899" width="16" customWidth="1"/>
    <col min="5902" max="5902" width="7.5703125" customWidth="1"/>
    <col min="5903" max="5903" width="0.5703125" customWidth="1"/>
    <col min="5904" max="5904" width="11.5703125" bestFit="1" customWidth="1"/>
    <col min="6144" max="6144" width="24.7109375" customWidth="1"/>
    <col min="6145" max="6145" width="17.85546875" customWidth="1"/>
    <col min="6146" max="6146" width="20.7109375" customWidth="1"/>
    <col min="6147" max="6147" width="16.5703125" customWidth="1"/>
    <col min="6148" max="6148" width="7.140625" customWidth="1"/>
    <col min="6149" max="6149" width="15.140625" customWidth="1"/>
    <col min="6150" max="6150" width="6.28515625" customWidth="1"/>
    <col min="6151" max="6151" width="19.7109375" customWidth="1"/>
    <col min="6152" max="6152" width="22.42578125" customWidth="1"/>
    <col min="6153" max="6153" width="31.5703125" customWidth="1"/>
    <col min="6154" max="6154" width="10.85546875" customWidth="1"/>
    <col min="6155" max="6155" width="16" customWidth="1"/>
    <col min="6158" max="6158" width="7.5703125" customWidth="1"/>
    <col min="6159" max="6159" width="0.5703125" customWidth="1"/>
    <col min="6160" max="6160" width="11.5703125" bestFit="1" customWidth="1"/>
    <col min="6400" max="6400" width="24.7109375" customWidth="1"/>
    <col min="6401" max="6401" width="17.85546875" customWidth="1"/>
    <col min="6402" max="6402" width="20.7109375" customWidth="1"/>
    <col min="6403" max="6403" width="16.5703125" customWidth="1"/>
    <col min="6404" max="6404" width="7.140625" customWidth="1"/>
    <col min="6405" max="6405" width="15.140625" customWidth="1"/>
    <col min="6406" max="6406" width="6.28515625" customWidth="1"/>
    <col min="6407" max="6407" width="19.7109375" customWidth="1"/>
    <col min="6408" max="6408" width="22.42578125" customWidth="1"/>
    <col min="6409" max="6409" width="31.5703125" customWidth="1"/>
    <col min="6410" max="6410" width="10.85546875" customWidth="1"/>
    <col min="6411" max="6411" width="16" customWidth="1"/>
    <col min="6414" max="6414" width="7.5703125" customWidth="1"/>
    <col min="6415" max="6415" width="0.5703125" customWidth="1"/>
    <col min="6416" max="6416" width="11.5703125" bestFit="1" customWidth="1"/>
    <col min="6656" max="6656" width="24.7109375" customWidth="1"/>
    <col min="6657" max="6657" width="17.85546875" customWidth="1"/>
    <col min="6658" max="6658" width="20.7109375" customWidth="1"/>
    <col min="6659" max="6659" width="16.5703125" customWidth="1"/>
    <col min="6660" max="6660" width="7.140625" customWidth="1"/>
    <col min="6661" max="6661" width="15.140625" customWidth="1"/>
    <col min="6662" max="6662" width="6.28515625" customWidth="1"/>
    <col min="6663" max="6663" width="19.7109375" customWidth="1"/>
    <col min="6664" max="6664" width="22.42578125" customWidth="1"/>
    <col min="6665" max="6665" width="31.5703125" customWidth="1"/>
    <col min="6666" max="6666" width="10.85546875" customWidth="1"/>
    <col min="6667" max="6667" width="16" customWidth="1"/>
    <col min="6670" max="6670" width="7.5703125" customWidth="1"/>
    <col min="6671" max="6671" width="0.5703125" customWidth="1"/>
    <col min="6672" max="6672" width="11.5703125" bestFit="1" customWidth="1"/>
    <col min="6912" max="6912" width="24.7109375" customWidth="1"/>
    <col min="6913" max="6913" width="17.85546875" customWidth="1"/>
    <col min="6914" max="6914" width="20.7109375" customWidth="1"/>
    <col min="6915" max="6915" width="16.5703125" customWidth="1"/>
    <col min="6916" max="6916" width="7.140625" customWidth="1"/>
    <col min="6917" max="6917" width="15.140625" customWidth="1"/>
    <col min="6918" max="6918" width="6.28515625" customWidth="1"/>
    <col min="6919" max="6919" width="19.7109375" customWidth="1"/>
    <col min="6920" max="6920" width="22.42578125" customWidth="1"/>
    <col min="6921" max="6921" width="31.5703125" customWidth="1"/>
    <col min="6922" max="6922" width="10.85546875" customWidth="1"/>
    <col min="6923" max="6923" width="16" customWidth="1"/>
    <col min="6926" max="6926" width="7.5703125" customWidth="1"/>
    <col min="6927" max="6927" width="0.5703125" customWidth="1"/>
    <col min="6928" max="6928" width="11.5703125" bestFit="1" customWidth="1"/>
    <col min="7168" max="7168" width="24.7109375" customWidth="1"/>
    <col min="7169" max="7169" width="17.85546875" customWidth="1"/>
    <col min="7170" max="7170" width="20.7109375" customWidth="1"/>
    <col min="7171" max="7171" width="16.5703125" customWidth="1"/>
    <col min="7172" max="7172" width="7.140625" customWidth="1"/>
    <col min="7173" max="7173" width="15.140625" customWidth="1"/>
    <col min="7174" max="7174" width="6.28515625" customWidth="1"/>
    <col min="7175" max="7175" width="19.7109375" customWidth="1"/>
    <col min="7176" max="7176" width="22.42578125" customWidth="1"/>
    <col min="7177" max="7177" width="31.5703125" customWidth="1"/>
    <col min="7178" max="7178" width="10.85546875" customWidth="1"/>
    <col min="7179" max="7179" width="16" customWidth="1"/>
    <col min="7182" max="7182" width="7.5703125" customWidth="1"/>
    <col min="7183" max="7183" width="0.5703125" customWidth="1"/>
    <col min="7184" max="7184" width="11.5703125" bestFit="1" customWidth="1"/>
    <col min="7424" max="7424" width="24.7109375" customWidth="1"/>
    <col min="7425" max="7425" width="17.85546875" customWidth="1"/>
    <col min="7426" max="7426" width="20.7109375" customWidth="1"/>
    <col min="7427" max="7427" width="16.5703125" customWidth="1"/>
    <col min="7428" max="7428" width="7.140625" customWidth="1"/>
    <col min="7429" max="7429" width="15.140625" customWidth="1"/>
    <col min="7430" max="7430" width="6.28515625" customWidth="1"/>
    <col min="7431" max="7431" width="19.7109375" customWidth="1"/>
    <col min="7432" max="7432" width="22.42578125" customWidth="1"/>
    <col min="7433" max="7433" width="31.5703125" customWidth="1"/>
    <col min="7434" max="7434" width="10.85546875" customWidth="1"/>
    <col min="7435" max="7435" width="16" customWidth="1"/>
    <col min="7438" max="7438" width="7.5703125" customWidth="1"/>
    <col min="7439" max="7439" width="0.5703125" customWidth="1"/>
    <col min="7440" max="7440" width="11.5703125" bestFit="1" customWidth="1"/>
    <col min="7680" max="7680" width="24.7109375" customWidth="1"/>
    <col min="7681" max="7681" width="17.85546875" customWidth="1"/>
    <col min="7682" max="7682" width="20.7109375" customWidth="1"/>
    <col min="7683" max="7683" width="16.5703125" customWidth="1"/>
    <col min="7684" max="7684" width="7.140625" customWidth="1"/>
    <col min="7685" max="7685" width="15.140625" customWidth="1"/>
    <col min="7686" max="7686" width="6.28515625" customWidth="1"/>
    <col min="7687" max="7687" width="19.7109375" customWidth="1"/>
    <col min="7688" max="7688" width="22.42578125" customWidth="1"/>
    <col min="7689" max="7689" width="31.5703125" customWidth="1"/>
    <col min="7690" max="7690" width="10.85546875" customWidth="1"/>
    <col min="7691" max="7691" width="16" customWidth="1"/>
    <col min="7694" max="7694" width="7.5703125" customWidth="1"/>
    <col min="7695" max="7695" width="0.5703125" customWidth="1"/>
    <col min="7696" max="7696" width="11.5703125" bestFit="1" customWidth="1"/>
    <col min="7936" max="7936" width="24.7109375" customWidth="1"/>
    <col min="7937" max="7937" width="17.85546875" customWidth="1"/>
    <col min="7938" max="7938" width="20.7109375" customWidth="1"/>
    <col min="7939" max="7939" width="16.5703125" customWidth="1"/>
    <col min="7940" max="7940" width="7.140625" customWidth="1"/>
    <col min="7941" max="7941" width="15.140625" customWidth="1"/>
    <col min="7942" max="7942" width="6.28515625" customWidth="1"/>
    <col min="7943" max="7943" width="19.7109375" customWidth="1"/>
    <col min="7944" max="7944" width="22.42578125" customWidth="1"/>
    <col min="7945" max="7945" width="31.5703125" customWidth="1"/>
    <col min="7946" max="7946" width="10.85546875" customWidth="1"/>
    <col min="7947" max="7947" width="16" customWidth="1"/>
    <col min="7950" max="7950" width="7.5703125" customWidth="1"/>
    <col min="7951" max="7951" width="0.5703125" customWidth="1"/>
    <col min="7952" max="7952" width="11.5703125" bestFit="1" customWidth="1"/>
    <col min="8192" max="8192" width="24.7109375" customWidth="1"/>
    <col min="8193" max="8193" width="17.85546875" customWidth="1"/>
    <col min="8194" max="8194" width="20.7109375" customWidth="1"/>
    <col min="8195" max="8195" width="16.5703125" customWidth="1"/>
    <col min="8196" max="8196" width="7.140625" customWidth="1"/>
    <col min="8197" max="8197" width="15.140625" customWidth="1"/>
    <col min="8198" max="8198" width="6.28515625" customWidth="1"/>
    <col min="8199" max="8199" width="19.7109375" customWidth="1"/>
    <col min="8200" max="8200" width="22.42578125" customWidth="1"/>
    <col min="8201" max="8201" width="31.5703125" customWidth="1"/>
    <col min="8202" max="8202" width="10.85546875" customWidth="1"/>
    <col min="8203" max="8203" width="16" customWidth="1"/>
    <col min="8206" max="8206" width="7.5703125" customWidth="1"/>
    <col min="8207" max="8207" width="0.5703125" customWidth="1"/>
    <col min="8208" max="8208" width="11.5703125" bestFit="1" customWidth="1"/>
    <col min="8448" max="8448" width="24.7109375" customWidth="1"/>
    <col min="8449" max="8449" width="17.85546875" customWidth="1"/>
    <col min="8450" max="8450" width="20.7109375" customWidth="1"/>
    <col min="8451" max="8451" width="16.5703125" customWidth="1"/>
    <col min="8452" max="8452" width="7.140625" customWidth="1"/>
    <col min="8453" max="8453" width="15.140625" customWidth="1"/>
    <col min="8454" max="8454" width="6.28515625" customWidth="1"/>
    <col min="8455" max="8455" width="19.7109375" customWidth="1"/>
    <col min="8456" max="8456" width="22.42578125" customWidth="1"/>
    <col min="8457" max="8457" width="31.5703125" customWidth="1"/>
    <col min="8458" max="8458" width="10.85546875" customWidth="1"/>
    <col min="8459" max="8459" width="16" customWidth="1"/>
    <col min="8462" max="8462" width="7.5703125" customWidth="1"/>
    <col min="8463" max="8463" width="0.5703125" customWidth="1"/>
    <col min="8464" max="8464" width="11.5703125" bestFit="1" customWidth="1"/>
    <col min="8704" max="8704" width="24.7109375" customWidth="1"/>
    <col min="8705" max="8705" width="17.85546875" customWidth="1"/>
    <col min="8706" max="8706" width="20.7109375" customWidth="1"/>
    <col min="8707" max="8707" width="16.5703125" customWidth="1"/>
    <col min="8708" max="8708" width="7.140625" customWidth="1"/>
    <col min="8709" max="8709" width="15.140625" customWidth="1"/>
    <col min="8710" max="8710" width="6.28515625" customWidth="1"/>
    <col min="8711" max="8711" width="19.7109375" customWidth="1"/>
    <col min="8712" max="8712" width="22.42578125" customWidth="1"/>
    <col min="8713" max="8713" width="31.5703125" customWidth="1"/>
    <col min="8714" max="8714" width="10.85546875" customWidth="1"/>
    <col min="8715" max="8715" width="16" customWidth="1"/>
    <col min="8718" max="8718" width="7.5703125" customWidth="1"/>
    <col min="8719" max="8719" width="0.5703125" customWidth="1"/>
    <col min="8720" max="8720" width="11.5703125" bestFit="1" customWidth="1"/>
    <col min="8960" max="8960" width="24.7109375" customWidth="1"/>
    <col min="8961" max="8961" width="17.85546875" customWidth="1"/>
    <col min="8962" max="8962" width="20.7109375" customWidth="1"/>
    <col min="8963" max="8963" width="16.5703125" customWidth="1"/>
    <col min="8964" max="8964" width="7.140625" customWidth="1"/>
    <col min="8965" max="8965" width="15.140625" customWidth="1"/>
    <col min="8966" max="8966" width="6.28515625" customWidth="1"/>
    <col min="8967" max="8967" width="19.7109375" customWidth="1"/>
    <col min="8968" max="8968" width="22.42578125" customWidth="1"/>
    <col min="8969" max="8969" width="31.5703125" customWidth="1"/>
    <col min="8970" max="8970" width="10.85546875" customWidth="1"/>
    <col min="8971" max="8971" width="16" customWidth="1"/>
    <col min="8974" max="8974" width="7.5703125" customWidth="1"/>
    <col min="8975" max="8975" width="0.5703125" customWidth="1"/>
    <col min="8976" max="8976" width="11.5703125" bestFit="1" customWidth="1"/>
    <col min="9216" max="9216" width="24.7109375" customWidth="1"/>
    <col min="9217" max="9217" width="17.85546875" customWidth="1"/>
    <col min="9218" max="9218" width="20.7109375" customWidth="1"/>
    <col min="9219" max="9219" width="16.5703125" customWidth="1"/>
    <col min="9220" max="9220" width="7.140625" customWidth="1"/>
    <col min="9221" max="9221" width="15.140625" customWidth="1"/>
    <col min="9222" max="9222" width="6.28515625" customWidth="1"/>
    <col min="9223" max="9223" width="19.7109375" customWidth="1"/>
    <col min="9224" max="9224" width="22.42578125" customWidth="1"/>
    <col min="9225" max="9225" width="31.5703125" customWidth="1"/>
    <col min="9226" max="9226" width="10.85546875" customWidth="1"/>
    <col min="9227" max="9227" width="16" customWidth="1"/>
    <col min="9230" max="9230" width="7.5703125" customWidth="1"/>
    <col min="9231" max="9231" width="0.5703125" customWidth="1"/>
    <col min="9232" max="9232" width="11.5703125" bestFit="1" customWidth="1"/>
    <col min="9472" max="9472" width="24.7109375" customWidth="1"/>
    <col min="9473" max="9473" width="17.85546875" customWidth="1"/>
    <col min="9474" max="9474" width="20.7109375" customWidth="1"/>
    <col min="9475" max="9475" width="16.5703125" customWidth="1"/>
    <col min="9476" max="9476" width="7.140625" customWidth="1"/>
    <col min="9477" max="9477" width="15.140625" customWidth="1"/>
    <col min="9478" max="9478" width="6.28515625" customWidth="1"/>
    <col min="9479" max="9479" width="19.7109375" customWidth="1"/>
    <col min="9480" max="9480" width="22.42578125" customWidth="1"/>
    <col min="9481" max="9481" width="31.5703125" customWidth="1"/>
    <col min="9482" max="9482" width="10.85546875" customWidth="1"/>
    <col min="9483" max="9483" width="16" customWidth="1"/>
    <col min="9486" max="9486" width="7.5703125" customWidth="1"/>
    <col min="9487" max="9487" width="0.5703125" customWidth="1"/>
    <col min="9488" max="9488" width="11.5703125" bestFit="1" customWidth="1"/>
    <col min="9728" max="9728" width="24.7109375" customWidth="1"/>
    <col min="9729" max="9729" width="17.85546875" customWidth="1"/>
    <col min="9730" max="9730" width="20.7109375" customWidth="1"/>
    <col min="9731" max="9731" width="16.5703125" customWidth="1"/>
    <col min="9732" max="9732" width="7.140625" customWidth="1"/>
    <col min="9733" max="9733" width="15.140625" customWidth="1"/>
    <col min="9734" max="9734" width="6.28515625" customWidth="1"/>
    <col min="9735" max="9735" width="19.7109375" customWidth="1"/>
    <col min="9736" max="9736" width="22.42578125" customWidth="1"/>
    <col min="9737" max="9737" width="31.5703125" customWidth="1"/>
    <col min="9738" max="9738" width="10.85546875" customWidth="1"/>
    <col min="9739" max="9739" width="16" customWidth="1"/>
    <col min="9742" max="9742" width="7.5703125" customWidth="1"/>
    <col min="9743" max="9743" width="0.5703125" customWidth="1"/>
    <col min="9744" max="9744" width="11.5703125" bestFit="1" customWidth="1"/>
    <col min="9984" max="9984" width="24.7109375" customWidth="1"/>
    <col min="9985" max="9985" width="17.85546875" customWidth="1"/>
    <col min="9986" max="9986" width="20.7109375" customWidth="1"/>
    <col min="9987" max="9987" width="16.5703125" customWidth="1"/>
    <col min="9988" max="9988" width="7.140625" customWidth="1"/>
    <col min="9989" max="9989" width="15.140625" customWidth="1"/>
    <col min="9990" max="9990" width="6.28515625" customWidth="1"/>
    <col min="9991" max="9991" width="19.7109375" customWidth="1"/>
    <col min="9992" max="9992" width="22.42578125" customWidth="1"/>
    <col min="9993" max="9993" width="31.5703125" customWidth="1"/>
    <col min="9994" max="9994" width="10.85546875" customWidth="1"/>
    <col min="9995" max="9995" width="16" customWidth="1"/>
    <col min="9998" max="9998" width="7.5703125" customWidth="1"/>
    <col min="9999" max="9999" width="0.5703125" customWidth="1"/>
    <col min="10000" max="10000" width="11.5703125" bestFit="1" customWidth="1"/>
    <col min="10240" max="10240" width="24.7109375" customWidth="1"/>
    <col min="10241" max="10241" width="17.85546875" customWidth="1"/>
    <col min="10242" max="10242" width="20.7109375" customWidth="1"/>
    <col min="10243" max="10243" width="16.5703125" customWidth="1"/>
    <col min="10244" max="10244" width="7.140625" customWidth="1"/>
    <col min="10245" max="10245" width="15.140625" customWidth="1"/>
    <col min="10246" max="10246" width="6.28515625" customWidth="1"/>
    <col min="10247" max="10247" width="19.7109375" customWidth="1"/>
    <col min="10248" max="10248" width="22.42578125" customWidth="1"/>
    <col min="10249" max="10249" width="31.5703125" customWidth="1"/>
    <col min="10250" max="10250" width="10.85546875" customWidth="1"/>
    <col min="10251" max="10251" width="16" customWidth="1"/>
    <col min="10254" max="10254" width="7.5703125" customWidth="1"/>
    <col min="10255" max="10255" width="0.5703125" customWidth="1"/>
    <col min="10256" max="10256" width="11.5703125" bestFit="1" customWidth="1"/>
    <col min="10496" max="10496" width="24.7109375" customWidth="1"/>
    <col min="10497" max="10497" width="17.85546875" customWidth="1"/>
    <col min="10498" max="10498" width="20.7109375" customWidth="1"/>
    <col min="10499" max="10499" width="16.5703125" customWidth="1"/>
    <col min="10500" max="10500" width="7.140625" customWidth="1"/>
    <col min="10501" max="10501" width="15.140625" customWidth="1"/>
    <col min="10502" max="10502" width="6.28515625" customWidth="1"/>
    <col min="10503" max="10503" width="19.7109375" customWidth="1"/>
    <col min="10504" max="10504" width="22.42578125" customWidth="1"/>
    <col min="10505" max="10505" width="31.5703125" customWidth="1"/>
    <col min="10506" max="10506" width="10.85546875" customWidth="1"/>
    <col min="10507" max="10507" width="16" customWidth="1"/>
    <col min="10510" max="10510" width="7.5703125" customWidth="1"/>
    <col min="10511" max="10511" width="0.5703125" customWidth="1"/>
    <col min="10512" max="10512" width="11.5703125" bestFit="1" customWidth="1"/>
    <col min="10752" max="10752" width="24.7109375" customWidth="1"/>
    <col min="10753" max="10753" width="17.85546875" customWidth="1"/>
    <col min="10754" max="10754" width="20.7109375" customWidth="1"/>
    <col min="10755" max="10755" width="16.5703125" customWidth="1"/>
    <col min="10756" max="10756" width="7.140625" customWidth="1"/>
    <col min="10757" max="10757" width="15.140625" customWidth="1"/>
    <col min="10758" max="10758" width="6.28515625" customWidth="1"/>
    <col min="10759" max="10759" width="19.7109375" customWidth="1"/>
    <col min="10760" max="10760" width="22.42578125" customWidth="1"/>
    <col min="10761" max="10761" width="31.5703125" customWidth="1"/>
    <col min="10762" max="10762" width="10.85546875" customWidth="1"/>
    <col min="10763" max="10763" width="16" customWidth="1"/>
    <col min="10766" max="10766" width="7.5703125" customWidth="1"/>
    <col min="10767" max="10767" width="0.5703125" customWidth="1"/>
    <col min="10768" max="10768" width="11.5703125" bestFit="1" customWidth="1"/>
    <col min="11008" max="11008" width="24.7109375" customWidth="1"/>
    <col min="11009" max="11009" width="17.85546875" customWidth="1"/>
    <col min="11010" max="11010" width="20.7109375" customWidth="1"/>
    <col min="11011" max="11011" width="16.5703125" customWidth="1"/>
    <col min="11012" max="11012" width="7.140625" customWidth="1"/>
    <col min="11013" max="11013" width="15.140625" customWidth="1"/>
    <col min="11014" max="11014" width="6.28515625" customWidth="1"/>
    <col min="11015" max="11015" width="19.7109375" customWidth="1"/>
    <col min="11016" max="11016" width="22.42578125" customWidth="1"/>
    <col min="11017" max="11017" width="31.5703125" customWidth="1"/>
    <col min="11018" max="11018" width="10.85546875" customWidth="1"/>
    <col min="11019" max="11019" width="16" customWidth="1"/>
    <col min="11022" max="11022" width="7.5703125" customWidth="1"/>
    <col min="11023" max="11023" width="0.5703125" customWidth="1"/>
    <col min="11024" max="11024" width="11.5703125" bestFit="1" customWidth="1"/>
    <col min="11264" max="11264" width="24.7109375" customWidth="1"/>
    <col min="11265" max="11265" width="17.85546875" customWidth="1"/>
    <col min="11266" max="11266" width="20.7109375" customWidth="1"/>
    <col min="11267" max="11267" width="16.5703125" customWidth="1"/>
    <col min="11268" max="11268" width="7.140625" customWidth="1"/>
    <col min="11269" max="11269" width="15.140625" customWidth="1"/>
    <col min="11270" max="11270" width="6.28515625" customWidth="1"/>
    <col min="11271" max="11271" width="19.7109375" customWidth="1"/>
    <col min="11272" max="11272" width="22.42578125" customWidth="1"/>
    <col min="11273" max="11273" width="31.5703125" customWidth="1"/>
    <col min="11274" max="11274" width="10.85546875" customWidth="1"/>
    <col min="11275" max="11275" width="16" customWidth="1"/>
    <col min="11278" max="11278" width="7.5703125" customWidth="1"/>
    <col min="11279" max="11279" width="0.5703125" customWidth="1"/>
    <col min="11280" max="11280" width="11.5703125" bestFit="1" customWidth="1"/>
    <col min="11520" max="11520" width="24.7109375" customWidth="1"/>
    <col min="11521" max="11521" width="17.85546875" customWidth="1"/>
    <col min="11522" max="11522" width="20.7109375" customWidth="1"/>
    <col min="11523" max="11523" width="16.5703125" customWidth="1"/>
    <col min="11524" max="11524" width="7.140625" customWidth="1"/>
    <col min="11525" max="11525" width="15.140625" customWidth="1"/>
    <col min="11526" max="11526" width="6.28515625" customWidth="1"/>
    <col min="11527" max="11527" width="19.7109375" customWidth="1"/>
    <col min="11528" max="11528" width="22.42578125" customWidth="1"/>
    <col min="11529" max="11529" width="31.5703125" customWidth="1"/>
    <col min="11530" max="11530" width="10.85546875" customWidth="1"/>
    <col min="11531" max="11531" width="16" customWidth="1"/>
    <col min="11534" max="11534" width="7.5703125" customWidth="1"/>
    <col min="11535" max="11535" width="0.5703125" customWidth="1"/>
    <col min="11536" max="11536" width="11.5703125" bestFit="1" customWidth="1"/>
    <col min="11776" max="11776" width="24.7109375" customWidth="1"/>
    <col min="11777" max="11777" width="17.85546875" customWidth="1"/>
    <col min="11778" max="11778" width="20.7109375" customWidth="1"/>
    <col min="11779" max="11779" width="16.5703125" customWidth="1"/>
    <col min="11780" max="11780" width="7.140625" customWidth="1"/>
    <col min="11781" max="11781" width="15.140625" customWidth="1"/>
    <col min="11782" max="11782" width="6.28515625" customWidth="1"/>
    <col min="11783" max="11783" width="19.7109375" customWidth="1"/>
    <col min="11784" max="11784" width="22.42578125" customWidth="1"/>
    <col min="11785" max="11785" width="31.5703125" customWidth="1"/>
    <col min="11786" max="11786" width="10.85546875" customWidth="1"/>
    <col min="11787" max="11787" width="16" customWidth="1"/>
    <col min="11790" max="11790" width="7.5703125" customWidth="1"/>
    <col min="11791" max="11791" width="0.5703125" customWidth="1"/>
    <col min="11792" max="11792" width="11.5703125" bestFit="1" customWidth="1"/>
    <col min="12032" max="12032" width="24.7109375" customWidth="1"/>
    <col min="12033" max="12033" width="17.85546875" customWidth="1"/>
    <col min="12034" max="12034" width="20.7109375" customWidth="1"/>
    <col min="12035" max="12035" width="16.5703125" customWidth="1"/>
    <col min="12036" max="12036" width="7.140625" customWidth="1"/>
    <col min="12037" max="12037" width="15.140625" customWidth="1"/>
    <col min="12038" max="12038" width="6.28515625" customWidth="1"/>
    <col min="12039" max="12039" width="19.7109375" customWidth="1"/>
    <col min="12040" max="12040" width="22.42578125" customWidth="1"/>
    <col min="12041" max="12041" width="31.5703125" customWidth="1"/>
    <col min="12042" max="12042" width="10.85546875" customWidth="1"/>
    <col min="12043" max="12043" width="16" customWidth="1"/>
    <col min="12046" max="12046" width="7.5703125" customWidth="1"/>
    <col min="12047" max="12047" width="0.5703125" customWidth="1"/>
    <col min="12048" max="12048" width="11.5703125" bestFit="1" customWidth="1"/>
    <col min="12288" max="12288" width="24.7109375" customWidth="1"/>
    <col min="12289" max="12289" width="17.85546875" customWidth="1"/>
    <col min="12290" max="12290" width="20.7109375" customWidth="1"/>
    <col min="12291" max="12291" width="16.5703125" customWidth="1"/>
    <col min="12292" max="12292" width="7.140625" customWidth="1"/>
    <col min="12293" max="12293" width="15.140625" customWidth="1"/>
    <col min="12294" max="12294" width="6.28515625" customWidth="1"/>
    <col min="12295" max="12295" width="19.7109375" customWidth="1"/>
    <col min="12296" max="12296" width="22.42578125" customWidth="1"/>
    <col min="12297" max="12297" width="31.5703125" customWidth="1"/>
    <col min="12298" max="12298" width="10.85546875" customWidth="1"/>
    <col min="12299" max="12299" width="16" customWidth="1"/>
    <col min="12302" max="12302" width="7.5703125" customWidth="1"/>
    <col min="12303" max="12303" width="0.5703125" customWidth="1"/>
    <col min="12304" max="12304" width="11.5703125" bestFit="1" customWidth="1"/>
    <col min="12544" max="12544" width="24.7109375" customWidth="1"/>
    <col min="12545" max="12545" width="17.85546875" customWidth="1"/>
    <col min="12546" max="12546" width="20.7109375" customWidth="1"/>
    <col min="12547" max="12547" width="16.5703125" customWidth="1"/>
    <col min="12548" max="12548" width="7.140625" customWidth="1"/>
    <col min="12549" max="12549" width="15.140625" customWidth="1"/>
    <col min="12550" max="12550" width="6.28515625" customWidth="1"/>
    <col min="12551" max="12551" width="19.7109375" customWidth="1"/>
    <col min="12552" max="12552" width="22.42578125" customWidth="1"/>
    <col min="12553" max="12553" width="31.5703125" customWidth="1"/>
    <col min="12554" max="12554" width="10.85546875" customWidth="1"/>
    <col min="12555" max="12555" width="16" customWidth="1"/>
    <col min="12558" max="12558" width="7.5703125" customWidth="1"/>
    <col min="12559" max="12559" width="0.5703125" customWidth="1"/>
    <col min="12560" max="12560" width="11.5703125" bestFit="1" customWidth="1"/>
    <col min="12800" max="12800" width="24.7109375" customWidth="1"/>
    <col min="12801" max="12801" width="17.85546875" customWidth="1"/>
    <col min="12802" max="12802" width="20.7109375" customWidth="1"/>
    <col min="12803" max="12803" width="16.5703125" customWidth="1"/>
    <col min="12804" max="12804" width="7.140625" customWidth="1"/>
    <col min="12805" max="12805" width="15.140625" customWidth="1"/>
    <col min="12806" max="12806" width="6.28515625" customWidth="1"/>
    <col min="12807" max="12807" width="19.7109375" customWidth="1"/>
    <col min="12808" max="12808" width="22.42578125" customWidth="1"/>
    <col min="12809" max="12809" width="31.5703125" customWidth="1"/>
    <col min="12810" max="12810" width="10.85546875" customWidth="1"/>
    <col min="12811" max="12811" width="16" customWidth="1"/>
    <col min="12814" max="12814" width="7.5703125" customWidth="1"/>
    <col min="12815" max="12815" width="0.5703125" customWidth="1"/>
    <col min="12816" max="12816" width="11.5703125" bestFit="1" customWidth="1"/>
    <col min="13056" max="13056" width="24.7109375" customWidth="1"/>
    <col min="13057" max="13057" width="17.85546875" customWidth="1"/>
    <col min="13058" max="13058" width="20.7109375" customWidth="1"/>
    <col min="13059" max="13059" width="16.5703125" customWidth="1"/>
    <col min="13060" max="13060" width="7.140625" customWidth="1"/>
    <col min="13061" max="13061" width="15.140625" customWidth="1"/>
    <col min="13062" max="13062" width="6.28515625" customWidth="1"/>
    <col min="13063" max="13063" width="19.7109375" customWidth="1"/>
    <col min="13064" max="13064" width="22.42578125" customWidth="1"/>
    <col min="13065" max="13065" width="31.5703125" customWidth="1"/>
    <col min="13066" max="13066" width="10.85546875" customWidth="1"/>
    <col min="13067" max="13067" width="16" customWidth="1"/>
    <col min="13070" max="13070" width="7.5703125" customWidth="1"/>
    <col min="13071" max="13071" width="0.5703125" customWidth="1"/>
    <col min="13072" max="13072" width="11.5703125" bestFit="1" customWidth="1"/>
    <col min="13312" max="13312" width="24.7109375" customWidth="1"/>
    <col min="13313" max="13313" width="17.85546875" customWidth="1"/>
    <col min="13314" max="13314" width="20.7109375" customWidth="1"/>
    <col min="13315" max="13315" width="16.5703125" customWidth="1"/>
    <col min="13316" max="13316" width="7.140625" customWidth="1"/>
    <col min="13317" max="13317" width="15.140625" customWidth="1"/>
    <col min="13318" max="13318" width="6.28515625" customWidth="1"/>
    <col min="13319" max="13319" width="19.7109375" customWidth="1"/>
    <col min="13320" max="13320" width="22.42578125" customWidth="1"/>
    <col min="13321" max="13321" width="31.5703125" customWidth="1"/>
    <col min="13322" max="13322" width="10.85546875" customWidth="1"/>
    <col min="13323" max="13323" width="16" customWidth="1"/>
    <col min="13326" max="13326" width="7.5703125" customWidth="1"/>
    <col min="13327" max="13327" width="0.5703125" customWidth="1"/>
    <col min="13328" max="13328" width="11.5703125" bestFit="1" customWidth="1"/>
    <col min="13568" max="13568" width="24.7109375" customWidth="1"/>
    <col min="13569" max="13569" width="17.85546875" customWidth="1"/>
    <col min="13570" max="13570" width="20.7109375" customWidth="1"/>
    <col min="13571" max="13571" width="16.5703125" customWidth="1"/>
    <col min="13572" max="13572" width="7.140625" customWidth="1"/>
    <col min="13573" max="13573" width="15.140625" customWidth="1"/>
    <col min="13574" max="13574" width="6.28515625" customWidth="1"/>
    <col min="13575" max="13575" width="19.7109375" customWidth="1"/>
    <col min="13576" max="13576" width="22.42578125" customWidth="1"/>
    <col min="13577" max="13577" width="31.5703125" customWidth="1"/>
    <col min="13578" max="13578" width="10.85546875" customWidth="1"/>
    <col min="13579" max="13579" width="16" customWidth="1"/>
    <col min="13582" max="13582" width="7.5703125" customWidth="1"/>
    <col min="13583" max="13583" width="0.5703125" customWidth="1"/>
    <col min="13584" max="13584" width="11.5703125" bestFit="1" customWidth="1"/>
    <col min="13824" max="13824" width="24.7109375" customWidth="1"/>
    <col min="13825" max="13825" width="17.85546875" customWidth="1"/>
    <col min="13826" max="13826" width="20.7109375" customWidth="1"/>
    <col min="13827" max="13827" width="16.5703125" customWidth="1"/>
    <col min="13828" max="13828" width="7.140625" customWidth="1"/>
    <col min="13829" max="13829" width="15.140625" customWidth="1"/>
    <col min="13830" max="13830" width="6.28515625" customWidth="1"/>
    <col min="13831" max="13831" width="19.7109375" customWidth="1"/>
    <col min="13832" max="13832" width="22.42578125" customWidth="1"/>
    <col min="13833" max="13833" width="31.5703125" customWidth="1"/>
    <col min="13834" max="13834" width="10.85546875" customWidth="1"/>
    <col min="13835" max="13835" width="16" customWidth="1"/>
    <col min="13838" max="13838" width="7.5703125" customWidth="1"/>
    <col min="13839" max="13839" width="0.5703125" customWidth="1"/>
    <col min="13840" max="13840" width="11.5703125" bestFit="1" customWidth="1"/>
    <col min="14080" max="14080" width="24.7109375" customWidth="1"/>
    <col min="14081" max="14081" width="17.85546875" customWidth="1"/>
    <col min="14082" max="14082" width="20.7109375" customWidth="1"/>
    <col min="14083" max="14083" width="16.5703125" customWidth="1"/>
    <col min="14084" max="14084" width="7.140625" customWidth="1"/>
    <col min="14085" max="14085" width="15.140625" customWidth="1"/>
    <col min="14086" max="14086" width="6.28515625" customWidth="1"/>
    <col min="14087" max="14087" width="19.7109375" customWidth="1"/>
    <col min="14088" max="14088" width="22.42578125" customWidth="1"/>
    <col min="14089" max="14089" width="31.5703125" customWidth="1"/>
    <col min="14090" max="14090" width="10.85546875" customWidth="1"/>
    <col min="14091" max="14091" width="16" customWidth="1"/>
    <col min="14094" max="14094" width="7.5703125" customWidth="1"/>
    <col min="14095" max="14095" width="0.5703125" customWidth="1"/>
    <col min="14096" max="14096" width="11.5703125" bestFit="1" customWidth="1"/>
    <col min="14336" max="14336" width="24.7109375" customWidth="1"/>
    <col min="14337" max="14337" width="17.85546875" customWidth="1"/>
    <col min="14338" max="14338" width="20.7109375" customWidth="1"/>
    <col min="14339" max="14339" width="16.5703125" customWidth="1"/>
    <col min="14340" max="14340" width="7.140625" customWidth="1"/>
    <col min="14341" max="14341" width="15.140625" customWidth="1"/>
    <col min="14342" max="14342" width="6.28515625" customWidth="1"/>
    <col min="14343" max="14343" width="19.7109375" customWidth="1"/>
    <col min="14344" max="14344" width="22.42578125" customWidth="1"/>
    <col min="14345" max="14345" width="31.5703125" customWidth="1"/>
    <col min="14346" max="14346" width="10.85546875" customWidth="1"/>
    <col min="14347" max="14347" width="16" customWidth="1"/>
    <col min="14350" max="14350" width="7.5703125" customWidth="1"/>
    <col min="14351" max="14351" width="0.5703125" customWidth="1"/>
    <col min="14352" max="14352" width="11.5703125" bestFit="1" customWidth="1"/>
    <col min="14592" max="14592" width="24.7109375" customWidth="1"/>
    <col min="14593" max="14593" width="17.85546875" customWidth="1"/>
    <col min="14594" max="14594" width="20.7109375" customWidth="1"/>
    <col min="14595" max="14595" width="16.5703125" customWidth="1"/>
    <col min="14596" max="14596" width="7.140625" customWidth="1"/>
    <col min="14597" max="14597" width="15.140625" customWidth="1"/>
    <col min="14598" max="14598" width="6.28515625" customWidth="1"/>
    <col min="14599" max="14599" width="19.7109375" customWidth="1"/>
    <col min="14600" max="14600" width="22.42578125" customWidth="1"/>
    <col min="14601" max="14601" width="31.5703125" customWidth="1"/>
    <col min="14602" max="14602" width="10.85546875" customWidth="1"/>
    <col min="14603" max="14603" width="16" customWidth="1"/>
    <col min="14606" max="14606" width="7.5703125" customWidth="1"/>
    <col min="14607" max="14607" width="0.5703125" customWidth="1"/>
    <col min="14608" max="14608" width="11.5703125" bestFit="1" customWidth="1"/>
    <col min="14848" max="14848" width="24.7109375" customWidth="1"/>
    <col min="14849" max="14849" width="17.85546875" customWidth="1"/>
    <col min="14850" max="14850" width="20.7109375" customWidth="1"/>
    <col min="14851" max="14851" width="16.5703125" customWidth="1"/>
    <col min="14852" max="14852" width="7.140625" customWidth="1"/>
    <col min="14853" max="14853" width="15.140625" customWidth="1"/>
    <col min="14854" max="14854" width="6.28515625" customWidth="1"/>
    <col min="14855" max="14855" width="19.7109375" customWidth="1"/>
    <col min="14856" max="14856" width="22.42578125" customWidth="1"/>
    <col min="14857" max="14857" width="31.5703125" customWidth="1"/>
    <col min="14858" max="14858" width="10.85546875" customWidth="1"/>
    <col min="14859" max="14859" width="16" customWidth="1"/>
    <col min="14862" max="14862" width="7.5703125" customWidth="1"/>
    <col min="14863" max="14863" width="0.5703125" customWidth="1"/>
    <col min="14864" max="14864" width="11.5703125" bestFit="1" customWidth="1"/>
    <col min="15104" max="15104" width="24.7109375" customWidth="1"/>
    <col min="15105" max="15105" width="17.85546875" customWidth="1"/>
    <col min="15106" max="15106" width="20.7109375" customWidth="1"/>
    <col min="15107" max="15107" width="16.5703125" customWidth="1"/>
    <col min="15108" max="15108" width="7.140625" customWidth="1"/>
    <col min="15109" max="15109" width="15.140625" customWidth="1"/>
    <col min="15110" max="15110" width="6.28515625" customWidth="1"/>
    <col min="15111" max="15111" width="19.7109375" customWidth="1"/>
    <col min="15112" max="15112" width="22.42578125" customWidth="1"/>
    <col min="15113" max="15113" width="31.5703125" customWidth="1"/>
    <col min="15114" max="15114" width="10.85546875" customWidth="1"/>
    <col min="15115" max="15115" width="16" customWidth="1"/>
    <col min="15118" max="15118" width="7.5703125" customWidth="1"/>
    <col min="15119" max="15119" width="0.5703125" customWidth="1"/>
    <col min="15120" max="15120" width="11.5703125" bestFit="1" customWidth="1"/>
    <col min="15360" max="15360" width="24.7109375" customWidth="1"/>
    <col min="15361" max="15361" width="17.85546875" customWidth="1"/>
    <col min="15362" max="15362" width="20.7109375" customWidth="1"/>
    <col min="15363" max="15363" width="16.5703125" customWidth="1"/>
    <col min="15364" max="15364" width="7.140625" customWidth="1"/>
    <col min="15365" max="15365" width="15.140625" customWidth="1"/>
    <col min="15366" max="15366" width="6.28515625" customWidth="1"/>
    <col min="15367" max="15367" width="19.7109375" customWidth="1"/>
    <col min="15368" max="15368" width="22.42578125" customWidth="1"/>
    <col min="15369" max="15369" width="31.5703125" customWidth="1"/>
    <col min="15370" max="15370" width="10.85546875" customWidth="1"/>
    <col min="15371" max="15371" width="16" customWidth="1"/>
    <col min="15374" max="15374" width="7.5703125" customWidth="1"/>
    <col min="15375" max="15375" width="0.5703125" customWidth="1"/>
    <col min="15376" max="15376" width="11.5703125" bestFit="1" customWidth="1"/>
    <col min="15616" max="15616" width="24.7109375" customWidth="1"/>
    <col min="15617" max="15617" width="17.85546875" customWidth="1"/>
    <col min="15618" max="15618" width="20.7109375" customWidth="1"/>
    <col min="15619" max="15619" width="16.5703125" customWidth="1"/>
    <col min="15620" max="15620" width="7.140625" customWidth="1"/>
    <col min="15621" max="15621" width="15.140625" customWidth="1"/>
    <col min="15622" max="15622" width="6.28515625" customWidth="1"/>
    <col min="15623" max="15623" width="19.7109375" customWidth="1"/>
    <col min="15624" max="15624" width="22.42578125" customWidth="1"/>
    <col min="15625" max="15625" width="31.5703125" customWidth="1"/>
    <col min="15626" max="15626" width="10.85546875" customWidth="1"/>
    <col min="15627" max="15627" width="16" customWidth="1"/>
    <col min="15630" max="15630" width="7.5703125" customWidth="1"/>
    <col min="15631" max="15631" width="0.5703125" customWidth="1"/>
    <col min="15632" max="15632" width="11.5703125" bestFit="1" customWidth="1"/>
    <col min="15872" max="15872" width="24.7109375" customWidth="1"/>
    <col min="15873" max="15873" width="17.85546875" customWidth="1"/>
    <col min="15874" max="15874" width="20.7109375" customWidth="1"/>
    <col min="15875" max="15875" width="16.5703125" customWidth="1"/>
    <col min="15876" max="15876" width="7.140625" customWidth="1"/>
    <col min="15877" max="15877" width="15.140625" customWidth="1"/>
    <col min="15878" max="15878" width="6.28515625" customWidth="1"/>
    <col min="15879" max="15879" width="19.7109375" customWidth="1"/>
    <col min="15880" max="15880" width="22.42578125" customWidth="1"/>
    <col min="15881" max="15881" width="31.5703125" customWidth="1"/>
    <col min="15882" max="15882" width="10.85546875" customWidth="1"/>
    <col min="15883" max="15883" width="16" customWidth="1"/>
    <col min="15886" max="15886" width="7.5703125" customWidth="1"/>
    <col min="15887" max="15887" width="0.5703125" customWidth="1"/>
    <col min="15888" max="15888" width="11.5703125" bestFit="1" customWidth="1"/>
    <col min="16128" max="16128" width="24.7109375" customWidth="1"/>
    <col min="16129" max="16129" width="17.85546875" customWidth="1"/>
    <col min="16130" max="16130" width="20.7109375" customWidth="1"/>
    <col min="16131" max="16131" width="16.5703125" customWidth="1"/>
    <col min="16132" max="16132" width="7.140625" customWidth="1"/>
    <col min="16133" max="16133" width="15.140625" customWidth="1"/>
    <col min="16134" max="16134" width="6.28515625" customWidth="1"/>
    <col min="16135" max="16135" width="19.7109375" customWidth="1"/>
    <col min="16136" max="16136" width="22.42578125" customWidth="1"/>
    <col min="16137" max="16137" width="31.5703125" customWidth="1"/>
    <col min="16138" max="16138" width="10.85546875" customWidth="1"/>
    <col min="16139" max="16139" width="16" customWidth="1"/>
    <col min="16142" max="16142" width="7.5703125" customWidth="1"/>
    <col min="16143" max="16143" width="0.5703125" customWidth="1"/>
    <col min="16144" max="16144" width="11.5703125" bestFit="1" customWidth="1"/>
  </cols>
  <sheetData>
    <row r="2" spans="2:15" ht="22.5" customHeight="1" x14ac:dyDescent="0.35">
      <c r="B2" s="670" t="s">
        <v>114</v>
      </c>
      <c r="C2" s="670"/>
      <c r="D2" s="670"/>
      <c r="E2" s="670"/>
      <c r="F2" s="79"/>
      <c r="G2" s="80"/>
      <c r="H2" s="80"/>
      <c r="J2" s="81"/>
      <c r="L2" s="80"/>
      <c r="M2" s="80"/>
    </row>
    <row r="3" spans="2:15" ht="28.5" customHeight="1" x14ac:dyDescent="0.35">
      <c r="B3" s="372" t="s">
        <v>313</v>
      </c>
      <c r="C3" s="371"/>
      <c r="D3" s="371"/>
      <c r="E3" s="371"/>
      <c r="F3" s="79"/>
      <c r="G3" s="80"/>
      <c r="H3" s="80"/>
      <c r="J3" s="81"/>
      <c r="L3" s="80"/>
      <c r="M3" s="80"/>
    </row>
    <row r="4" spans="2:15" s="134" customFormat="1" ht="129.75" customHeight="1" x14ac:dyDescent="0.25">
      <c r="B4" s="671" t="s">
        <v>363</v>
      </c>
      <c r="C4" s="671"/>
      <c r="D4" s="671"/>
      <c r="E4" s="671"/>
      <c r="F4" s="671"/>
      <c r="G4" s="671"/>
      <c r="H4" s="671"/>
      <c r="I4" s="671"/>
      <c r="J4" s="671"/>
      <c r="K4" s="671"/>
      <c r="L4" s="82"/>
      <c r="M4" s="82"/>
      <c r="N4" s="83"/>
      <c r="O4" s="83"/>
    </row>
    <row r="5" spans="2:15" ht="35.25" customHeight="1" x14ac:dyDescent="0.2">
      <c r="B5" s="672" t="s">
        <v>65</v>
      </c>
      <c r="C5" s="672"/>
      <c r="D5" s="672"/>
      <c r="E5" s="80"/>
      <c r="F5" s="80"/>
      <c r="G5" s="80"/>
      <c r="H5" s="80"/>
      <c r="J5" s="81"/>
      <c r="L5" s="80"/>
      <c r="M5" s="80"/>
    </row>
    <row r="6" spans="2:15" ht="36.75" customHeight="1" x14ac:dyDescent="0.2">
      <c r="B6" s="331" t="s">
        <v>240</v>
      </c>
      <c r="C6" s="331" t="s">
        <v>66</v>
      </c>
      <c r="D6" s="332" t="s">
        <v>67</v>
      </c>
      <c r="E6" s="84"/>
      <c r="F6" s="84"/>
      <c r="G6" s="85"/>
      <c r="H6" s="80"/>
      <c r="J6" s="81"/>
      <c r="L6" s="80"/>
      <c r="M6" s="80"/>
    </row>
    <row r="7" spans="2:15" ht="30" customHeight="1" x14ac:dyDescent="0.2">
      <c r="B7" s="333">
        <v>75</v>
      </c>
      <c r="C7" s="510">
        <v>2.5000000000000001E-2</v>
      </c>
      <c r="D7" s="335">
        <f t="shared" ref="D7:D14" si="0">C7*$C$16</f>
        <v>567766.11931088555</v>
      </c>
      <c r="E7" s="86"/>
      <c r="F7" s="86"/>
      <c r="G7" s="87"/>
      <c r="H7" s="80"/>
      <c r="J7" s="81"/>
      <c r="L7" s="80"/>
      <c r="M7" s="88"/>
    </row>
    <row r="8" spans="2:15" ht="30" customHeight="1" x14ac:dyDescent="0.2">
      <c r="B8" s="333">
        <v>85</v>
      </c>
      <c r="C8" s="510">
        <v>3.5000000000000003E-2</v>
      </c>
      <c r="D8" s="335">
        <f t="shared" si="0"/>
        <v>794872.56703523977</v>
      </c>
      <c r="E8" s="86"/>
      <c r="F8" s="86"/>
      <c r="G8" s="87"/>
      <c r="H8" s="80"/>
      <c r="J8" s="81"/>
      <c r="L8" s="80"/>
      <c r="M8" s="80"/>
    </row>
    <row r="9" spans="2:15" ht="30" customHeight="1" x14ac:dyDescent="0.2">
      <c r="B9" s="333">
        <v>95</v>
      </c>
      <c r="C9" s="510">
        <v>4.4999999999999998E-2</v>
      </c>
      <c r="D9" s="335">
        <f t="shared" si="0"/>
        <v>1021979.0147595939</v>
      </c>
      <c r="E9" s="90"/>
      <c r="F9" s="90"/>
      <c r="G9" s="87"/>
      <c r="H9" s="80"/>
      <c r="J9" s="81"/>
      <c r="L9" s="80"/>
      <c r="M9" s="80"/>
    </row>
    <row r="10" spans="2:15" ht="30" customHeight="1" x14ac:dyDescent="0.2">
      <c r="B10" s="336">
        <v>100</v>
      </c>
      <c r="C10" s="511">
        <v>0.05</v>
      </c>
      <c r="D10" s="338">
        <f t="shared" si="0"/>
        <v>1135532.2386217711</v>
      </c>
      <c r="E10" s="86"/>
      <c r="F10" s="86"/>
      <c r="G10" s="87"/>
      <c r="H10" s="80"/>
      <c r="J10" s="81"/>
      <c r="L10" s="80"/>
      <c r="M10" s="80"/>
    </row>
    <row r="11" spans="2:15" ht="29.25" customHeight="1" x14ac:dyDescent="0.2">
      <c r="B11" s="333">
        <v>105</v>
      </c>
      <c r="C11" s="510">
        <v>5.2900000000000003E-2</v>
      </c>
      <c r="D11" s="335">
        <f t="shared" si="0"/>
        <v>1201393.1084618338</v>
      </c>
      <c r="E11" s="86"/>
      <c r="F11" s="86"/>
      <c r="G11" s="87"/>
      <c r="H11" s="80"/>
      <c r="J11" s="81"/>
      <c r="L11" s="80"/>
      <c r="M11" s="80"/>
    </row>
    <row r="12" spans="2:15" ht="30" customHeight="1" x14ac:dyDescent="0.2">
      <c r="B12" s="333">
        <v>115</v>
      </c>
      <c r="C12" s="510">
        <v>5.8599999999999999E-2</v>
      </c>
      <c r="D12" s="335">
        <f t="shared" si="0"/>
        <v>1330843.7836647155</v>
      </c>
      <c r="E12" s="91"/>
      <c r="F12" s="91"/>
      <c r="G12" s="87"/>
      <c r="H12" s="80"/>
      <c r="J12" s="81"/>
      <c r="L12" s="80"/>
      <c r="M12" s="80"/>
    </row>
    <row r="13" spans="2:15" ht="30" customHeight="1" x14ac:dyDescent="0.2">
      <c r="B13" s="333">
        <v>125</v>
      </c>
      <c r="C13" s="510">
        <v>6.4299999999999996E-2</v>
      </c>
      <c r="D13" s="335">
        <f t="shared" si="0"/>
        <v>1460294.4588675974</v>
      </c>
      <c r="E13" s="91"/>
      <c r="F13" s="91"/>
      <c r="G13" s="87"/>
      <c r="H13" s="80"/>
      <c r="J13" s="81"/>
      <c r="L13" s="80"/>
      <c r="M13" s="80"/>
    </row>
    <row r="14" spans="2:15" ht="19.5" customHeight="1" x14ac:dyDescent="0.2">
      <c r="B14" s="333">
        <v>135</v>
      </c>
      <c r="C14" s="510">
        <v>7.0000000000000007E-2</v>
      </c>
      <c r="D14" s="335">
        <f t="shared" si="0"/>
        <v>1589745.1340704795</v>
      </c>
      <c r="E14" s="86"/>
      <c r="F14" s="86"/>
      <c r="G14" s="87"/>
      <c r="H14" s="80"/>
      <c r="J14" s="81"/>
      <c r="L14" s="80"/>
      <c r="M14" s="80"/>
    </row>
    <row r="15" spans="2:15" ht="24.75" customHeight="1" x14ac:dyDescent="0.2">
      <c r="B15" s="89"/>
      <c r="C15" s="369"/>
      <c r="D15" s="92"/>
      <c r="E15" s="86"/>
      <c r="F15" s="86"/>
      <c r="G15" s="87"/>
      <c r="H15" s="80"/>
      <c r="J15" s="81"/>
      <c r="L15" s="80"/>
      <c r="M15" s="80"/>
    </row>
    <row r="16" spans="2:15" s="95" customFormat="1" ht="36" x14ac:dyDescent="0.25">
      <c r="B16" s="339" t="s">
        <v>251</v>
      </c>
      <c r="C16" s="340">
        <f>'ES CT Gas Table A'!N50-'ES CT Gas Table A'!N45-'ES CT Gas Table A'!N43-'ES CT Gas Table A'!N41-'ES CT Gas Table A'!N44</f>
        <v>22710644.772435419</v>
      </c>
      <c r="D16" s="92"/>
      <c r="E16" s="93"/>
      <c r="F16" s="93"/>
      <c r="G16" s="94"/>
      <c r="J16" s="96"/>
      <c r="K16" s="105"/>
    </row>
    <row r="17" spans="2:13" ht="25.5" customHeight="1" x14ac:dyDescent="0.2">
      <c r="B17" s="675" t="s">
        <v>245</v>
      </c>
      <c r="C17" s="675"/>
      <c r="D17" s="675"/>
      <c r="E17" s="86"/>
      <c r="F17" s="86"/>
      <c r="G17" s="87"/>
      <c r="H17" s="80"/>
      <c r="J17" s="81"/>
      <c r="L17" s="80"/>
      <c r="M17" s="80"/>
    </row>
    <row r="18" spans="2:13" ht="19.5" customHeight="1" x14ac:dyDescent="0.2">
      <c r="B18" s="675"/>
      <c r="C18" s="675"/>
      <c r="D18" s="675"/>
      <c r="E18" s="86"/>
      <c r="F18" s="86"/>
      <c r="G18" s="87"/>
      <c r="H18" s="80"/>
      <c r="J18" s="81"/>
      <c r="L18" s="80"/>
      <c r="M18" s="80"/>
    </row>
    <row r="19" spans="2:13" ht="19.5" customHeight="1" x14ac:dyDescent="0.2">
      <c r="B19" s="80"/>
      <c r="D19" s="86"/>
      <c r="E19" s="86"/>
      <c r="F19" s="86"/>
      <c r="G19" s="87"/>
      <c r="H19" s="80"/>
      <c r="J19" s="81"/>
      <c r="L19" s="80"/>
      <c r="M19" s="80"/>
    </row>
    <row r="20" spans="2:13" ht="19.5" customHeight="1" x14ac:dyDescent="0.2">
      <c r="B20" s="80"/>
      <c r="D20" s="86"/>
      <c r="E20" s="86"/>
      <c r="F20" s="86"/>
      <c r="G20" s="87"/>
      <c r="H20" s="80"/>
      <c r="J20" s="81"/>
      <c r="L20" s="80"/>
      <c r="M20" s="80"/>
    </row>
    <row r="21" spans="2:13" ht="19.5" customHeight="1" x14ac:dyDescent="0.25">
      <c r="B21" s="110"/>
      <c r="D21" s="86"/>
      <c r="E21" s="86"/>
      <c r="F21" s="86"/>
      <c r="G21" s="87"/>
      <c r="H21" s="80"/>
      <c r="J21" s="81"/>
      <c r="L21" s="80"/>
      <c r="M21" s="80"/>
    </row>
    <row r="22" spans="2:13" ht="9" customHeight="1" thickBot="1" x14ac:dyDescent="0.25">
      <c r="B22" s="80"/>
      <c r="D22" s="80"/>
      <c r="E22" s="80"/>
      <c r="F22" s="80"/>
      <c r="G22" s="80"/>
      <c r="H22" s="80"/>
      <c r="J22" s="81"/>
      <c r="L22" s="80"/>
      <c r="M22" s="80"/>
    </row>
    <row r="23" spans="2:13" s="34" customFormat="1" ht="23.25" customHeight="1" thickBot="1" x14ac:dyDescent="0.25">
      <c r="B23" s="673" t="s">
        <v>68</v>
      </c>
      <c r="C23" s="673"/>
      <c r="D23" s="673" t="s">
        <v>69</v>
      </c>
      <c r="E23" s="673"/>
      <c r="F23" s="673"/>
      <c r="G23" s="673"/>
      <c r="H23" s="674" t="s">
        <v>70</v>
      </c>
      <c r="I23" s="674"/>
      <c r="J23" s="674"/>
      <c r="K23" s="674"/>
    </row>
    <row r="24" spans="2:13" s="34" customFormat="1" ht="36.75" customHeight="1" thickBot="1" x14ac:dyDescent="0.25">
      <c r="B24" s="673" t="s">
        <v>71</v>
      </c>
      <c r="C24" s="673"/>
      <c r="D24" s="673"/>
      <c r="E24" s="673"/>
      <c r="F24" s="673"/>
      <c r="G24" s="673"/>
      <c r="H24" s="469" t="s">
        <v>72</v>
      </c>
      <c r="I24" s="469" t="s">
        <v>73</v>
      </c>
      <c r="J24" s="469" t="s">
        <v>74</v>
      </c>
      <c r="K24" s="379" t="s">
        <v>75</v>
      </c>
    </row>
    <row r="25" spans="2:13" ht="19.5" customHeight="1" thickBot="1" x14ac:dyDescent="0.25">
      <c r="B25" s="663"/>
      <c r="C25" s="664"/>
      <c r="D25" s="664"/>
      <c r="E25" s="664"/>
      <c r="F25" s="664"/>
      <c r="G25" s="664"/>
      <c r="H25" s="664"/>
      <c r="I25" s="664"/>
      <c r="J25" s="664"/>
      <c r="K25" s="665"/>
      <c r="L25" s="80"/>
      <c r="M25" s="80"/>
    </row>
    <row r="26" spans="2:13" ht="17.25" customHeight="1" x14ac:dyDescent="0.2">
      <c r="B26" s="641" t="s">
        <v>29</v>
      </c>
      <c r="C26" s="642"/>
      <c r="D26" s="645" t="s">
        <v>76</v>
      </c>
      <c r="E26" s="641" t="s">
        <v>77</v>
      </c>
      <c r="F26" s="642"/>
      <c r="G26" s="647" t="s">
        <v>78</v>
      </c>
      <c r="H26" s="666"/>
      <c r="I26" s="666"/>
      <c r="J26" s="666"/>
      <c r="K26" s="668"/>
      <c r="L26" s="80"/>
      <c r="M26" s="80"/>
    </row>
    <row r="27" spans="2:13" ht="18.75" customHeight="1" thickBot="1" x14ac:dyDescent="0.25">
      <c r="B27" s="643"/>
      <c r="C27" s="644"/>
      <c r="D27" s="646"/>
      <c r="E27" s="643"/>
      <c r="F27" s="644"/>
      <c r="G27" s="648"/>
      <c r="H27" s="667"/>
      <c r="I27" s="667"/>
      <c r="J27" s="667"/>
      <c r="K27" s="669"/>
      <c r="L27" s="80"/>
      <c r="M27" s="80"/>
    </row>
    <row r="28" spans="2:13" ht="18" customHeight="1" thickBot="1" x14ac:dyDescent="0.25">
      <c r="B28" s="624" t="s">
        <v>246</v>
      </c>
      <c r="C28" s="627">
        <f>'ES CT Gas Table A'!N18</f>
        <v>12032652.508259524</v>
      </c>
      <c r="D28" s="690" t="s">
        <v>5</v>
      </c>
      <c r="E28" s="691"/>
      <c r="F28" s="691"/>
      <c r="G28" s="692"/>
      <c r="H28" s="679" t="s">
        <v>243</v>
      </c>
      <c r="I28" s="679" t="s">
        <v>244</v>
      </c>
      <c r="J28" s="705">
        <v>0.21440000000000001</v>
      </c>
      <c r="K28" s="627">
        <f>$D$10*J28</f>
        <v>243458.11196050773</v>
      </c>
      <c r="L28" s="80"/>
      <c r="M28" s="80"/>
    </row>
    <row r="29" spans="2:13" ht="43.5" hidden="1" customHeight="1" thickBot="1" x14ac:dyDescent="0.25">
      <c r="B29" s="625"/>
      <c r="C29" s="628"/>
      <c r="D29" s="693"/>
      <c r="E29" s="694"/>
      <c r="F29" s="694"/>
      <c r="G29" s="695"/>
      <c r="H29" s="680"/>
      <c r="I29" s="680"/>
      <c r="J29" s="706"/>
      <c r="K29" s="628"/>
      <c r="L29" s="80"/>
      <c r="M29" s="80"/>
    </row>
    <row r="30" spans="2:13" ht="18.75" customHeight="1" thickBot="1" x14ac:dyDescent="0.3">
      <c r="B30" s="625"/>
      <c r="C30" s="628"/>
      <c r="D30" s="373" t="s">
        <v>198</v>
      </c>
      <c r="E30" s="685">
        <f>'2014-24 ES CT G Table D2LifeCCF'!O11</f>
        <v>58881.482011918823</v>
      </c>
      <c r="F30" s="686"/>
      <c r="G30" s="350">
        <f>(E30*E$37)/I$33</f>
        <v>3.2619910060351308E-3</v>
      </c>
      <c r="H30" s="680"/>
      <c r="I30" s="680"/>
      <c r="J30" s="706"/>
      <c r="K30" s="628"/>
      <c r="L30" s="80"/>
      <c r="M30" s="80"/>
    </row>
    <row r="31" spans="2:13" ht="18.75" customHeight="1" thickBot="1" x14ac:dyDescent="0.3">
      <c r="B31" s="625"/>
      <c r="C31" s="628"/>
      <c r="D31" s="373" t="s">
        <v>96</v>
      </c>
      <c r="E31" s="685">
        <f>'2014-24 ES CT G Table D2LifeCCF'!O12</f>
        <v>3848874.9130558246</v>
      </c>
      <c r="F31" s="686"/>
      <c r="G31" s="350">
        <f>(E31*E$37)/I$33</f>
        <v>0.21322485305653407</v>
      </c>
      <c r="H31" s="680"/>
      <c r="I31" s="680"/>
      <c r="J31" s="706"/>
      <c r="K31" s="628"/>
      <c r="L31" s="80"/>
      <c r="M31" s="80"/>
    </row>
    <row r="32" spans="2:13" ht="39.75" customHeight="1" thickBot="1" x14ac:dyDescent="0.3">
      <c r="B32" s="625"/>
      <c r="C32" s="628"/>
      <c r="D32" s="501" t="s">
        <v>349</v>
      </c>
      <c r="E32" s="685">
        <f>'2014-24 ES CT G Table D2LifeCCF'!O13</f>
        <v>10059662.232513005</v>
      </c>
      <c r="F32" s="686"/>
      <c r="G32" s="350">
        <f>(E32*E$37)/I$33</f>
        <v>0.55729792466103989</v>
      </c>
      <c r="H32" s="680"/>
      <c r="I32" s="681"/>
      <c r="J32" s="706"/>
      <c r="K32" s="628"/>
      <c r="L32" s="80"/>
      <c r="M32" s="80"/>
    </row>
    <row r="33" spans="2:17" ht="18.75" customHeight="1" thickBot="1" x14ac:dyDescent="0.3">
      <c r="B33" s="625"/>
      <c r="C33" s="628"/>
      <c r="D33" s="373" t="s">
        <v>197</v>
      </c>
      <c r="E33" s="685">
        <f>'2014-24 ES CT G Table D2LifeCCF'!O19</f>
        <v>4064925.4793245425</v>
      </c>
      <c r="F33" s="686"/>
      <c r="G33" s="350">
        <f>(E33*E$37)/I$33</f>
        <v>0.2251938962928218</v>
      </c>
      <c r="H33" s="680"/>
      <c r="I33" s="676">
        <f>E38</f>
        <v>28527229.61067266</v>
      </c>
      <c r="J33" s="706"/>
      <c r="K33" s="628"/>
      <c r="L33" s="80"/>
      <c r="M33" s="80"/>
    </row>
    <row r="34" spans="2:17" ht="28.5" customHeight="1" thickBot="1" x14ac:dyDescent="0.3">
      <c r="B34" s="625"/>
      <c r="C34" s="628"/>
      <c r="D34" s="471" t="s">
        <v>211</v>
      </c>
      <c r="E34" s="685">
        <f>'2014-24 ES CT G Table D2LifeCCF'!O21</f>
        <v>18436</v>
      </c>
      <c r="F34" s="686"/>
      <c r="G34" s="350">
        <f>(E34*E$37)/I$33</f>
        <v>1.0213409060439492E-3</v>
      </c>
      <c r="H34" s="680"/>
      <c r="I34" s="677"/>
      <c r="J34" s="706"/>
      <c r="K34" s="628"/>
      <c r="L34" s="80"/>
      <c r="M34" s="80"/>
    </row>
    <row r="35" spans="2:17" ht="18.75" customHeight="1" thickBot="1" x14ac:dyDescent="0.3">
      <c r="B35" s="625"/>
      <c r="C35" s="628"/>
      <c r="D35" s="374" t="s">
        <v>79</v>
      </c>
      <c r="E35" s="708">
        <f>ROUND(SUM(E30:E34),0)</f>
        <v>18050780</v>
      </c>
      <c r="F35" s="709"/>
      <c r="G35" s="352"/>
      <c r="H35" s="680"/>
      <c r="I35" s="677"/>
      <c r="J35" s="706"/>
      <c r="K35" s="628"/>
      <c r="L35" s="80"/>
      <c r="M35" s="80"/>
      <c r="Q35" s="80" t="s">
        <v>5</v>
      </c>
    </row>
    <row r="36" spans="2:17" ht="18.75" customHeight="1" thickBot="1" x14ac:dyDescent="0.25">
      <c r="B36" s="625"/>
      <c r="C36" s="628"/>
      <c r="D36" s="682"/>
      <c r="E36" s="683"/>
      <c r="F36" s="683"/>
      <c r="G36" s="684"/>
      <c r="H36" s="680"/>
      <c r="I36" s="677"/>
      <c r="J36" s="706"/>
      <c r="K36" s="628"/>
      <c r="L36" s="80"/>
      <c r="M36" s="80"/>
    </row>
    <row r="37" spans="2:17" ht="30" customHeight="1" thickBot="1" x14ac:dyDescent="0.3">
      <c r="B37" s="625"/>
      <c r="C37" s="628"/>
      <c r="D37" s="351" t="s">
        <v>80</v>
      </c>
      <c r="E37" s="376">
        <f>E38/E35</f>
        <v>1.580387640349761</v>
      </c>
      <c r="F37" s="377" t="s">
        <v>338</v>
      </c>
      <c r="G37" s="349"/>
      <c r="H37" s="680"/>
      <c r="I37" s="677"/>
      <c r="J37" s="706"/>
      <c r="K37" s="628"/>
      <c r="L37" s="80"/>
      <c r="M37" s="80"/>
    </row>
    <row r="38" spans="2:17" ht="21.75" customHeight="1" thickBot="1" x14ac:dyDescent="0.25">
      <c r="B38" s="625"/>
      <c r="C38" s="628"/>
      <c r="D38" s="345" t="s">
        <v>81</v>
      </c>
      <c r="E38" s="472">
        <f>'[15] Eversource Gas_Table B'!$F$60*1000</f>
        <v>28527229.61067266</v>
      </c>
      <c r="F38" s="353"/>
      <c r="G38" s="345"/>
      <c r="H38" s="680"/>
      <c r="I38" s="677"/>
      <c r="J38" s="706"/>
      <c r="K38" s="628"/>
      <c r="L38" s="80"/>
      <c r="M38" s="80"/>
    </row>
    <row r="39" spans="2:17" ht="30" customHeight="1" thickBot="1" x14ac:dyDescent="0.25">
      <c r="B39" s="626"/>
      <c r="C39" s="629"/>
      <c r="D39" s="687" t="s">
        <v>82</v>
      </c>
      <c r="E39" s="688"/>
      <c r="F39" s="688"/>
      <c r="G39" s="689"/>
      <c r="H39" s="681"/>
      <c r="I39" s="678"/>
      <c r="J39" s="707"/>
      <c r="K39" s="629"/>
      <c r="L39" s="80"/>
      <c r="M39" s="80"/>
    </row>
    <row r="40" spans="2:17" ht="42" customHeight="1" thickBot="1" x14ac:dyDescent="0.25">
      <c r="B40" s="471" t="s">
        <v>241</v>
      </c>
      <c r="D40" s="687"/>
      <c r="E40" s="688"/>
      <c r="F40" s="688"/>
      <c r="G40" s="689"/>
      <c r="H40" s="470"/>
      <c r="I40" s="472">
        <f>I33-C28</f>
        <v>16494577.102413137</v>
      </c>
      <c r="J40" s="356">
        <v>0.21440000000000001</v>
      </c>
      <c r="K40" s="472">
        <f>$D$10*J40</f>
        <v>243458.11196050773</v>
      </c>
      <c r="L40" s="80"/>
      <c r="M40" s="80"/>
    </row>
    <row r="41" spans="2:17" ht="72" customHeight="1" thickBot="1" x14ac:dyDescent="0.25">
      <c r="B41" s="341" t="s">
        <v>96</v>
      </c>
      <c r="C41" s="472">
        <f>'ES CT Gas Table A'!N14</f>
        <v>3744974.3862450402</v>
      </c>
      <c r="D41" s="710" t="s">
        <v>345</v>
      </c>
      <c r="E41" s="710"/>
      <c r="F41" s="710"/>
      <c r="G41" s="710"/>
      <c r="H41" s="496" t="s">
        <v>340</v>
      </c>
      <c r="I41" s="342" t="s">
        <v>346</v>
      </c>
      <c r="J41" s="343">
        <v>4.4999999999999998E-2</v>
      </c>
      <c r="K41" s="358">
        <f>$D$10*J41</f>
        <v>51098.9507379797</v>
      </c>
      <c r="L41" s="80"/>
      <c r="M41" s="80"/>
    </row>
    <row r="42" spans="2:17" ht="91.5" customHeight="1" thickBot="1" x14ac:dyDescent="0.25">
      <c r="B42" s="471" t="s">
        <v>247</v>
      </c>
      <c r="C42" s="472">
        <f>'ES CT Gas Table A'!N16</f>
        <v>5108944.6981856497</v>
      </c>
      <c r="D42" s="711" t="s">
        <v>345</v>
      </c>
      <c r="E42" s="711"/>
      <c r="F42" s="711"/>
      <c r="G42" s="711"/>
      <c r="H42" s="496" t="s">
        <v>340</v>
      </c>
      <c r="I42" s="342" t="s">
        <v>346</v>
      </c>
      <c r="J42" s="343">
        <v>4.4999999999999998E-2</v>
      </c>
      <c r="K42" s="359">
        <f>$D$10*J42</f>
        <v>51098.9507379797</v>
      </c>
    </row>
    <row r="43" spans="2:17" ht="30" customHeight="1" thickBot="1" x14ac:dyDescent="0.25">
      <c r="B43" s="383"/>
      <c r="C43" s="712"/>
      <c r="D43" s="712"/>
      <c r="E43" s="712"/>
      <c r="F43" s="712"/>
      <c r="G43" s="712"/>
      <c r="H43" s="712"/>
      <c r="I43" s="712"/>
      <c r="J43" s="712"/>
      <c r="K43" s="640"/>
    </row>
    <row r="44" spans="2:17" ht="36.75" customHeight="1" x14ac:dyDescent="0.2">
      <c r="B44" s="641" t="s">
        <v>83</v>
      </c>
      <c r="C44" s="642"/>
      <c r="D44" s="645" t="s">
        <v>76</v>
      </c>
      <c r="E44" s="641" t="s">
        <v>344</v>
      </c>
      <c r="F44" s="642"/>
      <c r="G44" s="647" t="s">
        <v>78</v>
      </c>
      <c r="H44" s="713"/>
      <c r="I44" s="713"/>
      <c r="J44" s="713"/>
      <c r="K44" s="621"/>
    </row>
    <row r="45" spans="2:17" ht="19.5" customHeight="1" thickBot="1" x14ac:dyDescent="0.25">
      <c r="B45" s="643"/>
      <c r="C45" s="644"/>
      <c r="D45" s="646"/>
      <c r="E45" s="643"/>
      <c r="F45" s="644"/>
      <c r="G45" s="648"/>
      <c r="H45" s="714"/>
      <c r="I45" s="714"/>
      <c r="J45" s="714"/>
      <c r="K45" s="622"/>
    </row>
    <row r="46" spans="2:17" ht="45.75" customHeight="1" thickBot="1" x14ac:dyDescent="0.3">
      <c r="B46" s="624" t="s">
        <v>84</v>
      </c>
      <c r="C46" s="627">
        <f>'ES CT Gas Table A'!N24</f>
        <v>9429312.9721190296</v>
      </c>
      <c r="D46" s="478" t="s">
        <v>85</v>
      </c>
      <c r="E46" s="633">
        <f>'2014-24 ES CT G Table D2LifeCCF'!O24</f>
        <v>6281432.9158742223</v>
      </c>
      <c r="F46" s="634"/>
      <c r="G46" s="350">
        <f>(E46*$E$52)/$I$48</f>
        <v>0.40040644195438824</v>
      </c>
      <c r="H46" s="699" t="s">
        <v>250</v>
      </c>
      <c r="I46" s="623" t="s">
        <v>100</v>
      </c>
      <c r="J46" s="658">
        <v>0.18559999999999999</v>
      </c>
      <c r="K46" s="652">
        <f>$D$10*J46</f>
        <v>210754.78348820072</v>
      </c>
    </row>
    <row r="47" spans="2:17" ht="28.5" customHeight="1" thickBot="1" x14ac:dyDescent="0.3">
      <c r="B47" s="625"/>
      <c r="C47" s="628"/>
      <c r="D47" s="478" t="s">
        <v>86</v>
      </c>
      <c r="E47" s="633">
        <f>'2014-24 ES CT G Table D2LifeCCF'!O25</f>
        <v>6033007.0439675199</v>
      </c>
      <c r="F47" s="634"/>
      <c r="G47" s="350">
        <f>(E47*$E$52)/$I$48</f>
        <v>0.38457067314307147</v>
      </c>
      <c r="H47" s="700"/>
      <c r="I47" s="623"/>
      <c r="J47" s="659"/>
      <c r="K47" s="653"/>
    </row>
    <row r="48" spans="2:17" ht="36.75" thickBot="1" x14ac:dyDescent="0.3">
      <c r="B48" s="625"/>
      <c r="C48" s="628"/>
      <c r="D48" s="478" t="s">
        <v>199</v>
      </c>
      <c r="E48" s="633">
        <f>'2014-24 ES CT G Table D2LifeCCF'!O26</f>
        <v>1877079.8270252293</v>
      </c>
      <c r="F48" s="634"/>
      <c r="G48" s="350">
        <f>(E48*$E$52)/$I$48</f>
        <v>0.11965340788789224</v>
      </c>
      <c r="H48" s="700"/>
      <c r="I48" s="702">
        <f>E53</f>
        <v>23656820.33667659</v>
      </c>
      <c r="J48" s="659"/>
      <c r="K48" s="653"/>
    </row>
    <row r="49" spans="2:16" ht="30.75" customHeight="1" thickBot="1" x14ac:dyDescent="0.3">
      <c r="B49" s="625"/>
      <c r="C49" s="628"/>
      <c r="D49" s="478" t="s">
        <v>11</v>
      </c>
      <c r="E49" s="633">
        <f>'2014-24 ES CT G Table D2LifeCCF'!O27</f>
        <v>1496122.3086504845</v>
      </c>
      <c r="F49" s="634"/>
      <c r="G49" s="350">
        <f>(E49*$E$52)/$I$48</f>
        <v>9.5369483103355163E-2</v>
      </c>
      <c r="H49" s="700"/>
      <c r="I49" s="703"/>
      <c r="J49" s="659"/>
      <c r="K49" s="653"/>
    </row>
    <row r="50" spans="2:16" ht="27.75" customHeight="1" thickBot="1" x14ac:dyDescent="0.3">
      <c r="B50" s="625"/>
      <c r="C50" s="628"/>
      <c r="D50" s="380" t="s">
        <v>79</v>
      </c>
      <c r="E50" s="635">
        <f>ROUND(SUM(E46:E49),0)</f>
        <v>15687642</v>
      </c>
      <c r="F50" s="636"/>
      <c r="G50" s="347"/>
      <c r="H50" s="700"/>
      <c r="I50" s="703"/>
      <c r="J50" s="659"/>
      <c r="K50" s="653"/>
    </row>
    <row r="51" spans="2:16" ht="18.75" customHeight="1" thickBot="1" x14ac:dyDescent="0.25">
      <c r="B51" s="625"/>
      <c r="C51" s="628"/>
      <c r="D51" s="474"/>
      <c r="E51" s="475"/>
      <c r="F51" s="475"/>
      <c r="G51" s="476"/>
      <c r="H51" s="700"/>
      <c r="I51" s="703"/>
      <c r="J51" s="659"/>
      <c r="K51" s="653"/>
    </row>
    <row r="52" spans="2:16" ht="32.25" customHeight="1" thickBot="1" x14ac:dyDescent="0.25">
      <c r="B52" s="625"/>
      <c r="C52" s="628"/>
      <c r="D52" s="478" t="s">
        <v>80</v>
      </c>
      <c r="E52" s="376">
        <f>E53/E50</f>
        <v>1.5079908335922372</v>
      </c>
      <c r="F52" s="382" t="s">
        <v>338</v>
      </c>
      <c r="G52" s="637"/>
      <c r="H52" s="700"/>
      <c r="I52" s="703"/>
      <c r="J52" s="659"/>
      <c r="K52" s="653"/>
    </row>
    <row r="53" spans="2:16" ht="28.5" customHeight="1" thickBot="1" x14ac:dyDescent="0.25">
      <c r="B53" s="625"/>
      <c r="C53" s="628"/>
      <c r="D53" s="478" t="s">
        <v>81</v>
      </c>
      <c r="E53" s="639">
        <f>'[15] Eversource Gas_Table B'!$F$66*1000</f>
        <v>23656820.33667659</v>
      </c>
      <c r="F53" s="640"/>
      <c r="G53" s="638"/>
      <c r="H53" s="700"/>
      <c r="I53" s="703"/>
      <c r="J53" s="659"/>
      <c r="K53" s="653"/>
      <c r="M53" s="97"/>
      <c r="P53" s="98"/>
    </row>
    <row r="54" spans="2:16" ht="27.75" customHeight="1" thickBot="1" x14ac:dyDescent="0.25">
      <c r="B54" s="626"/>
      <c r="C54" s="629"/>
      <c r="D54" s="630" t="s">
        <v>82</v>
      </c>
      <c r="E54" s="631"/>
      <c r="F54" s="631"/>
      <c r="G54" s="632"/>
      <c r="H54" s="701"/>
      <c r="I54" s="704"/>
      <c r="J54" s="660"/>
      <c r="K54" s="654"/>
      <c r="P54" s="98"/>
    </row>
    <row r="55" spans="2:16" ht="67.5" customHeight="1" thickBot="1" x14ac:dyDescent="0.25">
      <c r="B55" s="471" t="s">
        <v>248</v>
      </c>
      <c r="D55" s="696"/>
      <c r="E55" s="697"/>
      <c r="F55" s="697"/>
      <c r="G55" s="698"/>
      <c r="H55" s="473"/>
      <c r="I55" s="361">
        <f>E53-C46</f>
        <v>14227507.364557561</v>
      </c>
      <c r="J55" s="346">
        <v>0.18559999999999999</v>
      </c>
      <c r="K55" s="361">
        <f>$D$10*J55</f>
        <v>210754.78348820072</v>
      </c>
      <c r="M55" s="97"/>
      <c r="P55" s="98"/>
    </row>
    <row r="56" spans="2:16" s="101" customFormat="1" ht="25.5" customHeight="1" thickBot="1" x14ac:dyDescent="0.25">
      <c r="B56" s="661" t="s">
        <v>11</v>
      </c>
      <c r="C56" s="662">
        <f>'ES CT Gas Table A'!N23</f>
        <v>733132.61648411001</v>
      </c>
      <c r="D56" s="623" t="s">
        <v>365</v>
      </c>
      <c r="E56" s="623"/>
      <c r="F56" s="623"/>
      <c r="G56" s="623"/>
      <c r="H56" s="652" t="s">
        <v>242</v>
      </c>
      <c r="I56" s="655" t="s">
        <v>326</v>
      </c>
      <c r="J56" s="658">
        <v>0.05</v>
      </c>
      <c r="K56" s="652">
        <f>$D$10*J56</f>
        <v>56776.611931088555</v>
      </c>
      <c r="M56" s="102"/>
      <c r="P56" s="103"/>
    </row>
    <row r="57" spans="2:16" s="101" customFormat="1" ht="25.5" customHeight="1" thickBot="1" x14ac:dyDescent="0.25">
      <c r="B57" s="661"/>
      <c r="C57" s="662"/>
      <c r="D57" s="623"/>
      <c r="E57" s="623"/>
      <c r="F57" s="623"/>
      <c r="G57" s="623"/>
      <c r="H57" s="653"/>
      <c r="I57" s="656"/>
      <c r="J57" s="659"/>
      <c r="K57" s="653"/>
      <c r="M57" s="102"/>
      <c r="P57" s="103"/>
    </row>
    <row r="58" spans="2:16" s="101" customFormat="1" ht="25.5" customHeight="1" thickBot="1" x14ac:dyDescent="0.25">
      <c r="B58" s="661"/>
      <c r="C58" s="662"/>
      <c r="D58" s="623"/>
      <c r="E58" s="623"/>
      <c r="F58" s="623"/>
      <c r="G58" s="623"/>
      <c r="H58" s="653"/>
      <c r="I58" s="656"/>
      <c r="J58" s="659"/>
      <c r="K58" s="653"/>
      <c r="M58" s="102"/>
      <c r="P58" s="103"/>
    </row>
    <row r="59" spans="2:16" s="101" customFormat="1" ht="25.5" customHeight="1" thickBot="1" x14ac:dyDescent="0.25">
      <c r="B59" s="661"/>
      <c r="C59" s="662"/>
      <c r="D59" s="623"/>
      <c r="E59" s="623"/>
      <c r="F59" s="623"/>
      <c r="G59" s="623"/>
      <c r="H59" s="653"/>
      <c r="I59" s="656"/>
      <c r="J59" s="659"/>
      <c r="K59" s="653"/>
      <c r="M59" s="102"/>
      <c r="P59" s="103"/>
    </row>
    <row r="60" spans="2:16" s="101" customFormat="1" ht="46.5" customHeight="1" thickBot="1" x14ac:dyDescent="0.25">
      <c r="B60" s="661"/>
      <c r="C60" s="662"/>
      <c r="D60" s="623"/>
      <c r="E60" s="623"/>
      <c r="F60" s="623"/>
      <c r="G60" s="623"/>
      <c r="H60" s="654"/>
      <c r="I60" s="657"/>
      <c r="J60" s="660"/>
      <c r="K60" s="654"/>
      <c r="M60" s="102"/>
      <c r="P60" s="103"/>
    </row>
    <row r="61" spans="2:16" ht="189" customHeight="1" thickBot="1" x14ac:dyDescent="0.25">
      <c r="B61" s="471" t="s">
        <v>249</v>
      </c>
      <c r="C61" s="472">
        <f>'ES CT Gas Table A'!$M$20+'ES CT Gas Table A'!N21</f>
        <v>8112808.64189116</v>
      </c>
      <c r="D61" s="623" t="s">
        <v>366</v>
      </c>
      <c r="E61" s="623"/>
      <c r="F61" s="623"/>
      <c r="G61" s="623"/>
      <c r="H61" s="361" t="s">
        <v>242</v>
      </c>
      <c r="I61" s="477" t="s">
        <v>326</v>
      </c>
      <c r="J61" s="346">
        <v>0.05</v>
      </c>
      <c r="K61" s="361">
        <f>$D$10*J61</f>
        <v>56776.611931088555</v>
      </c>
      <c r="P61" s="98"/>
    </row>
    <row r="62" spans="2:16" ht="189" customHeight="1" thickBot="1" x14ac:dyDescent="0.25">
      <c r="B62" s="471" t="s">
        <v>263</v>
      </c>
      <c r="C62" s="472" t="s">
        <v>5</v>
      </c>
      <c r="D62" s="623" t="s">
        <v>264</v>
      </c>
      <c r="E62" s="623"/>
      <c r="F62" s="623"/>
      <c r="G62" s="623"/>
      <c r="H62" s="477" t="s">
        <v>265</v>
      </c>
      <c r="I62" s="477" t="s">
        <v>266</v>
      </c>
      <c r="J62" s="346">
        <v>0.01</v>
      </c>
      <c r="K62" s="361">
        <f>$D$10*J62</f>
        <v>11355.322386217711</v>
      </c>
      <c r="P62" s="98"/>
    </row>
    <row r="63" spans="2:16" ht="34.5" customHeight="1" thickBot="1" x14ac:dyDescent="0.3">
      <c r="B63" s="649" t="s">
        <v>267</v>
      </c>
      <c r="C63" s="650"/>
      <c r="D63" s="650"/>
      <c r="E63" s="650"/>
      <c r="F63" s="650"/>
      <c r="G63" s="650"/>
      <c r="H63" s="651"/>
      <c r="I63" s="375"/>
      <c r="J63" s="362">
        <f>SUM(J28:J62)</f>
        <v>1</v>
      </c>
      <c r="K63" s="363">
        <f>SUM(K28:K62)</f>
        <v>1135532.2386217713</v>
      </c>
    </row>
    <row r="64" spans="2:16" ht="38.25" customHeight="1" x14ac:dyDescent="0.2">
      <c r="B64" s="95"/>
      <c r="C64" s="95"/>
      <c r="D64" s="99"/>
      <c r="E64" s="95"/>
      <c r="F64" s="95"/>
      <c r="G64" s="95"/>
      <c r="H64" s="95"/>
      <c r="I64" s="95"/>
      <c r="J64" s="96"/>
      <c r="K64" s="105"/>
    </row>
    <row r="65" spans="2:11" ht="21.75" customHeight="1" x14ac:dyDescent="0.2">
      <c r="B65" s="95"/>
      <c r="C65" s="95"/>
      <c r="D65" s="95"/>
      <c r="E65" s="95"/>
      <c r="F65" s="95"/>
      <c r="G65" s="95"/>
      <c r="H65" s="95"/>
      <c r="I65" s="95"/>
      <c r="J65" s="96"/>
      <c r="K65" s="105"/>
    </row>
    <row r="66" spans="2:11" ht="30" customHeight="1" x14ac:dyDescent="0.2">
      <c r="B66" s="95"/>
      <c r="C66" s="95"/>
      <c r="D66" s="95"/>
      <c r="E66" s="95"/>
      <c r="F66" s="95"/>
      <c r="G66" s="95"/>
      <c r="H66" s="95"/>
      <c r="I66" s="95"/>
      <c r="J66" s="96"/>
      <c r="K66" s="105"/>
    </row>
    <row r="67" spans="2:11" ht="18.75" customHeight="1" x14ac:dyDescent="0.2">
      <c r="B67" s="95"/>
      <c r="C67" s="95"/>
      <c r="D67" s="95"/>
      <c r="E67" s="95"/>
      <c r="F67" s="95"/>
      <c r="G67" s="95"/>
      <c r="H67" s="95"/>
      <c r="I67" s="95"/>
      <c r="J67" s="96"/>
      <c r="K67" s="105"/>
    </row>
    <row r="68" spans="2:11" ht="18.75" customHeight="1" x14ac:dyDescent="0.2">
      <c r="B68" s="95"/>
      <c r="C68" s="95"/>
      <c r="D68" s="95"/>
      <c r="E68" s="95"/>
      <c r="F68" s="95"/>
      <c r="G68" s="95"/>
      <c r="H68" s="95"/>
      <c r="I68" s="95"/>
      <c r="J68" s="96"/>
      <c r="K68" s="105"/>
    </row>
    <row r="69" spans="2:11" ht="18.75" customHeight="1" x14ac:dyDescent="0.2">
      <c r="B69" s="95"/>
      <c r="C69" s="95"/>
      <c r="D69" s="95"/>
      <c r="E69" s="95"/>
      <c r="F69" s="95"/>
      <c r="G69" s="95"/>
      <c r="H69" s="95"/>
      <c r="I69" s="95"/>
      <c r="J69" s="96"/>
      <c r="K69" s="105"/>
    </row>
    <row r="70" spans="2:11" ht="30.75" customHeight="1" x14ac:dyDescent="0.2">
      <c r="B70" s="95"/>
      <c r="C70" s="95"/>
      <c r="D70" s="95"/>
      <c r="E70" s="95"/>
      <c r="F70" s="95"/>
      <c r="G70" s="95"/>
      <c r="H70" s="95"/>
      <c r="I70" s="95"/>
      <c r="J70" s="96"/>
      <c r="K70" s="105"/>
    </row>
    <row r="71" spans="2:11" ht="18.75" customHeight="1" x14ac:dyDescent="0.2">
      <c r="B71" s="95"/>
      <c r="C71" s="95"/>
      <c r="D71" s="95"/>
      <c r="E71" s="95"/>
      <c r="F71" s="95"/>
      <c r="G71" s="95"/>
      <c r="H71" s="95"/>
      <c r="I71" s="95"/>
      <c r="J71" s="96"/>
      <c r="K71" s="105"/>
    </row>
    <row r="72" spans="2:11" ht="18.75" customHeight="1" x14ac:dyDescent="0.2">
      <c r="B72" s="95"/>
      <c r="C72" s="95"/>
      <c r="D72" s="95"/>
      <c r="E72" s="95"/>
      <c r="F72" s="95"/>
      <c r="G72" s="95"/>
      <c r="H72" s="95"/>
      <c r="I72" s="95"/>
      <c r="J72" s="96"/>
      <c r="K72" s="105"/>
    </row>
    <row r="73" spans="2:11" ht="18.75" customHeight="1" x14ac:dyDescent="0.2">
      <c r="B73" s="95"/>
      <c r="C73" s="95"/>
      <c r="D73" s="95"/>
      <c r="E73" s="95"/>
      <c r="F73" s="95"/>
      <c r="G73" s="95"/>
      <c r="H73" s="95"/>
      <c r="I73" s="95"/>
      <c r="J73" s="96"/>
      <c r="K73" s="105"/>
    </row>
    <row r="74" spans="2:11" ht="23.25" customHeight="1" x14ac:dyDescent="0.2">
      <c r="B74" s="95"/>
      <c r="C74" s="95"/>
      <c r="D74" s="95"/>
      <c r="E74" s="95"/>
      <c r="F74" s="95"/>
      <c r="G74" s="95"/>
      <c r="H74" s="95"/>
      <c r="I74" s="95"/>
      <c r="J74" s="96"/>
      <c r="K74" s="105"/>
    </row>
    <row r="75" spans="2:11" ht="19.5" customHeight="1" x14ac:dyDescent="0.2">
      <c r="B75" s="95"/>
      <c r="C75" s="95"/>
      <c r="D75" s="95"/>
      <c r="E75" s="95"/>
      <c r="F75" s="95"/>
      <c r="G75" s="95"/>
      <c r="H75" s="95"/>
      <c r="I75" s="95"/>
      <c r="J75" s="96"/>
      <c r="K75" s="105"/>
    </row>
    <row r="76" spans="2:11" ht="14.25" x14ac:dyDescent="0.2">
      <c r="B76" s="95"/>
      <c r="C76" s="95"/>
      <c r="D76" s="95"/>
      <c r="E76" s="95"/>
      <c r="F76" s="95"/>
      <c r="G76" s="95"/>
      <c r="H76" s="95"/>
      <c r="I76" s="95"/>
      <c r="J76" s="96"/>
      <c r="K76" s="105"/>
    </row>
    <row r="77" spans="2:11" ht="14.25" x14ac:dyDescent="0.2">
      <c r="B77" s="95"/>
      <c r="C77" s="95"/>
      <c r="D77" s="95"/>
      <c r="E77" s="95"/>
      <c r="F77" s="95"/>
      <c r="G77" s="95"/>
      <c r="H77" s="95"/>
      <c r="I77" s="95"/>
      <c r="J77" s="96"/>
      <c r="K77" s="105"/>
    </row>
    <row r="78" spans="2:11" ht="14.25" x14ac:dyDescent="0.2">
      <c r="B78" s="95"/>
      <c r="C78" s="95"/>
      <c r="D78" s="95"/>
      <c r="E78" s="95"/>
      <c r="F78" s="95"/>
      <c r="G78" s="95"/>
      <c r="H78" s="95"/>
      <c r="I78" s="95"/>
      <c r="J78" s="96"/>
      <c r="K78" s="105"/>
    </row>
    <row r="79" spans="2:11" ht="14.25" x14ac:dyDescent="0.2">
      <c r="B79" s="95"/>
      <c r="C79" s="95"/>
      <c r="D79" s="95"/>
      <c r="E79" s="95"/>
      <c r="F79" s="95"/>
      <c r="G79" s="95"/>
      <c r="H79" s="95"/>
      <c r="I79" s="95"/>
      <c r="J79" s="96"/>
      <c r="K79" s="105"/>
    </row>
    <row r="80" spans="2:11" ht="14.25" x14ac:dyDescent="0.2">
      <c r="B80" s="95"/>
      <c r="C80" s="95"/>
      <c r="D80" s="95"/>
      <c r="E80" s="95"/>
      <c r="F80" s="95"/>
      <c r="G80" s="95"/>
      <c r="H80" s="95"/>
      <c r="I80" s="95"/>
      <c r="J80" s="96"/>
      <c r="K80" s="105"/>
    </row>
    <row r="81" spans="2:11" ht="14.25" x14ac:dyDescent="0.2">
      <c r="B81" s="95"/>
      <c r="C81" s="95"/>
      <c r="D81" s="95"/>
      <c r="E81" s="95"/>
      <c r="F81" s="95"/>
      <c r="G81" s="95"/>
      <c r="H81" s="95"/>
      <c r="I81" s="95"/>
      <c r="J81" s="96"/>
      <c r="K81" s="105"/>
    </row>
    <row r="82" spans="2:11" ht="14.25" x14ac:dyDescent="0.2">
      <c r="B82" s="95"/>
      <c r="C82" s="95"/>
      <c r="D82" s="95"/>
      <c r="E82" s="95"/>
      <c r="F82" s="95"/>
      <c r="G82" s="95"/>
      <c r="H82" s="95"/>
      <c r="I82" s="95"/>
      <c r="J82" s="96"/>
      <c r="K82" s="105"/>
    </row>
    <row r="83" spans="2:11" ht="14.25" x14ac:dyDescent="0.2">
      <c r="B83" s="95"/>
      <c r="C83" s="95"/>
      <c r="D83" s="95"/>
      <c r="E83" s="95"/>
      <c r="F83" s="95"/>
      <c r="G83" s="95"/>
      <c r="H83" s="95"/>
      <c r="I83" s="95"/>
      <c r="J83" s="96"/>
      <c r="K83" s="105"/>
    </row>
    <row r="84" spans="2:11" ht="14.25" x14ac:dyDescent="0.2">
      <c r="B84" s="95"/>
      <c r="C84" s="95"/>
      <c r="D84" s="95"/>
      <c r="E84" s="95"/>
      <c r="F84" s="95"/>
      <c r="G84" s="95"/>
      <c r="H84" s="95"/>
      <c r="I84" s="95"/>
      <c r="J84" s="96"/>
      <c r="K84" s="105"/>
    </row>
    <row r="85" spans="2:11" ht="14.25" x14ac:dyDescent="0.2">
      <c r="B85" s="95"/>
      <c r="C85" s="95"/>
      <c r="D85" s="95"/>
      <c r="E85" s="95"/>
      <c r="F85" s="95"/>
      <c r="G85" s="95"/>
      <c r="H85" s="95"/>
      <c r="I85" s="95"/>
      <c r="J85" s="96"/>
      <c r="K85" s="105"/>
    </row>
    <row r="86" spans="2:11" ht="14.25" x14ac:dyDescent="0.2">
      <c r="B86" s="95"/>
      <c r="C86" s="95"/>
      <c r="D86" s="95"/>
      <c r="E86" s="95"/>
      <c r="F86" s="95"/>
      <c r="G86" s="95"/>
      <c r="H86" s="95"/>
      <c r="I86" s="95"/>
      <c r="J86" s="96"/>
      <c r="K86" s="105"/>
    </row>
    <row r="87" spans="2:11" ht="14.25" x14ac:dyDescent="0.2">
      <c r="B87" s="95"/>
      <c r="C87" s="95"/>
      <c r="D87" s="95"/>
      <c r="E87" s="95"/>
      <c r="F87" s="95"/>
      <c r="G87" s="95"/>
      <c r="H87" s="95"/>
      <c r="I87" s="95"/>
      <c r="J87" s="96"/>
      <c r="K87" s="105"/>
    </row>
  </sheetData>
  <mergeCells count="71">
    <mergeCell ref="B2:E2"/>
    <mergeCell ref="B4:K4"/>
    <mergeCell ref="B5:D5"/>
    <mergeCell ref="B17:D18"/>
    <mergeCell ref="B23:C23"/>
    <mergeCell ref="D23:G24"/>
    <mergeCell ref="H23:K23"/>
    <mergeCell ref="B24:C24"/>
    <mergeCell ref="B25:K25"/>
    <mergeCell ref="B26:C27"/>
    <mergeCell ref="D26:D27"/>
    <mergeCell ref="E26:F27"/>
    <mergeCell ref="G26:G27"/>
    <mergeCell ref="H26:H27"/>
    <mergeCell ref="I26:I27"/>
    <mergeCell ref="J26:J27"/>
    <mergeCell ref="K26:K27"/>
    <mergeCell ref="B28:B39"/>
    <mergeCell ref="C28:C39"/>
    <mergeCell ref="D28:G29"/>
    <mergeCell ref="H28:H39"/>
    <mergeCell ref="I28:I32"/>
    <mergeCell ref="K28:K39"/>
    <mergeCell ref="E30:F30"/>
    <mergeCell ref="E31:F31"/>
    <mergeCell ref="E32:F32"/>
    <mergeCell ref="E33:F33"/>
    <mergeCell ref="I33:I39"/>
    <mergeCell ref="E34:F34"/>
    <mergeCell ref="E35:F35"/>
    <mergeCell ref="D36:G36"/>
    <mergeCell ref="D39:G39"/>
    <mergeCell ref="J28:J39"/>
    <mergeCell ref="D40:G40"/>
    <mergeCell ref="D41:G41"/>
    <mergeCell ref="D42:G42"/>
    <mergeCell ref="C43:K43"/>
    <mergeCell ref="B44:C45"/>
    <mergeCell ref="D44:D45"/>
    <mergeCell ref="E44:F45"/>
    <mergeCell ref="G44:G45"/>
    <mergeCell ref="H44:H45"/>
    <mergeCell ref="I44:I45"/>
    <mergeCell ref="J44:J45"/>
    <mergeCell ref="K44:K45"/>
    <mergeCell ref="B46:B54"/>
    <mergeCell ref="C46:C54"/>
    <mergeCell ref="E46:F46"/>
    <mergeCell ref="H46:H54"/>
    <mergeCell ref="I46:I47"/>
    <mergeCell ref="J46:J54"/>
    <mergeCell ref="K46:K54"/>
    <mergeCell ref="E47:F47"/>
    <mergeCell ref="E48:F48"/>
    <mergeCell ref="I48:I54"/>
    <mergeCell ref="E49:F49"/>
    <mergeCell ref="E50:F50"/>
    <mergeCell ref="G52:G53"/>
    <mergeCell ref="E53:F53"/>
    <mergeCell ref="D54:G54"/>
    <mergeCell ref="D55:G55"/>
    <mergeCell ref="B56:B60"/>
    <mergeCell ref="C56:C60"/>
    <mergeCell ref="D56:G60"/>
    <mergeCell ref="H56:H60"/>
    <mergeCell ref="J56:J60"/>
    <mergeCell ref="K56:K60"/>
    <mergeCell ref="D61:G61"/>
    <mergeCell ref="D62:G62"/>
    <mergeCell ref="B63:H63"/>
    <mergeCell ref="I56:I60"/>
  </mergeCells>
  <printOptions horizontalCentered="1"/>
  <pageMargins left="0" right="0" top="1" bottom="0.5" header="0.5" footer="0.5"/>
  <pageSetup scale="60" fitToHeight="5" orientation="landscape"/>
  <headerFooter alignWithMargins="0">
    <oddHeader xml:space="preserve">&amp;C&amp;"Arial,Bold"&amp;14
</oddHeader>
    <oddFooter xml:space="preserve">&amp;CTotals may vary due to rounding
</oddFooter>
  </headerFooter>
  <rowBreaks count="2" manualBreakCount="2">
    <brk id="22" min="1" max="12" man="1"/>
    <brk id="43" max="16383" man="1"/>
  </rowBreaks>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228D09-5112-4198-AE93-4F18B7FD4B3C}">
  <sheetPr>
    <tabColor rgb="FFFFC000"/>
    <pageSetUpPr fitToPage="1"/>
  </sheetPr>
  <dimension ref="B2:V49"/>
  <sheetViews>
    <sheetView showGridLines="0" topLeftCell="A10" zoomScale="85" zoomScaleNormal="85" workbookViewId="0">
      <selection activeCell="G30" sqref="G30"/>
    </sheetView>
  </sheetViews>
  <sheetFormatPr defaultRowHeight="12.75" x14ac:dyDescent="0.2"/>
  <cols>
    <col min="2" max="2" width="36.28515625" bestFit="1" customWidth="1"/>
    <col min="4" max="4" width="15.7109375" bestFit="1" customWidth="1"/>
    <col min="5" max="5" width="13.42578125" customWidth="1"/>
    <col min="6" max="8" width="18.28515625" customWidth="1"/>
  </cols>
  <sheetData>
    <row r="2" spans="2:12" s="395" customFormat="1" ht="23.25" x14ac:dyDescent="0.35">
      <c r="B2" s="545" t="s">
        <v>308</v>
      </c>
      <c r="C2" s="545"/>
      <c r="D2" s="545"/>
      <c r="E2" s="545"/>
      <c r="F2" s="545"/>
      <c r="G2" s="574"/>
      <c r="H2" s="574"/>
      <c r="I2" s="574"/>
      <c r="J2" s="574"/>
      <c r="K2" s="574"/>
      <c r="L2" s="574"/>
    </row>
    <row r="3" spans="2:12" s="395" customFormat="1" ht="23.25" x14ac:dyDescent="0.35">
      <c r="B3" s="545" t="s">
        <v>50</v>
      </c>
      <c r="C3" s="545"/>
      <c r="D3" s="545"/>
      <c r="E3" s="545"/>
      <c r="F3" s="545"/>
      <c r="G3" s="574"/>
      <c r="H3" s="574"/>
      <c r="I3" s="574"/>
      <c r="J3" s="574"/>
      <c r="K3" s="574"/>
      <c r="L3" s="574"/>
    </row>
    <row r="28" spans="2:22" x14ac:dyDescent="0.2">
      <c r="J28" s="34" t="s">
        <v>5</v>
      </c>
    </row>
    <row r="29" spans="2:22" s="395" customFormat="1" ht="72.75" customHeight="1" x14ac:dyDescent="0.2">
      <c r="B29" s="403" t="s">
        <v>51</v>
      </c>
      <c r="C29" s="560" t="s">
        <v>192</v>
      </c>
      <c r="D29" s="560"/>
      <c r="E29" s="488" t="s">
        <v>146</v>
      </c>
      <c r="F29" s="401" t="s">
        <v>221</v>
      </c>
      <c r="G29" s="401" t="s">
        <v>324</v>
      </c>
      <c r="H29" s="401" t="s">
        <v>325</v>
      </c>
      <c r="I29" s="54"/>
      <c r="J29" s="55"/>
      <c r="P29" s="6"/>
      <c r="Q29" s="6"/>
      <c r="R29" s="8"/>
      <c r="S29" s="8"/>
      <c r="T29" s="56"/>
      <c r="U29" s="57"/>
      <c r="V29" s="8"/>
    </row>
    <row r="30" spans="2:22" s="395" customFormat="1" ht="21.75" customHeight="1" x14ac:dyDescent="0.25">
      <c r="B30" s="385" t="s">
        <v>222</v>
      </c>
      <c r="C30" s="561">
        <f>'ES CT Gas 2022 Table A Pie'!C30+'[12]CNG 2022 Table A Pie Chart'!$B$28+'[12]SCG 2022 Table A Pie Chart'!$B$28</f>
        <v>10227138.912222371</v>
      </c>
      <c r="D30" s="562"/>
      <c r="E30" s="386">
        <f>SUM(C30/C43)</f>
        <v>0.22788768507115165</v>
      </c>
      <c r="F30" s="387">
        <f>C30/C37</f>
        <v>0.26024173923760957</v>
      </c>
      <c r="G30" s="487">
        <v>0.13</v>
      </c>
      <c r="H30" s="387">
        <f>F30-G30</f>
        <v>0.13024173923760957</v>
      </c>
      <c r="I30" s="55"/>
      <c r="J30" s="55"/>
      <c r="P30" s="6"/>
      <c r="Q30" s="6"/>
      <c r="R30" s="8"/>
      <c r="S30" s="8"/>
      <c r="T30" s="56"/>
      <c r="U30" s="57"/>
      <c r="V30" s="8"/>
    </row>
    <row r="31" spans="2:22" s="395" customFormat="1" ht="21" customHeight="1" x14ac:dyDescent="0.25">
      <c r="B31" s="385" t="s">
        <v>223</v>
      </c>
      <c r="C31" s="561">
        <f>C32-C30</f>
        <v>15567088.331512213</v>
      </c>
      <c r="D31" s="562"/>
      <c r="E31" s="386">
        <f>C31/C43</f>
        <v>0.34687587150369198</v>
      </c>
      <c r="F31" s="387">
        <f>C31/C37</f>
        <v>0.39612311683932178</v>
      </c>
      <c r="G31" s="487">
        <f>0.4406-G30</f>
        <v>0.31059999999999999</v>
      </c>
      <c r="H31" s="387">
        <f>F31-G31</f>
        <v>8.5523116839321789E-2</v>
      </c>
      <c r="I31" s="55"/>
      <c r="J31" s="59"/>
      <c r="K31" s="60"/>
      <c r="L31" s="60"/>
      <c r="M31" s="60"/>
      <c r="N31" s="60"/>
      <c r="P31" s="6"/>
      <c r="Q31" s="6"/>
      <c r="R31" s="8"/>
      <c r="S31" s="8"/>
      <c r="T31" s="56"/>
      <c r="U31" s="57"/>
      <c r="V31" s="8"/>
    </row>
    <row r="32" spans="2:22" s="395" customFormat="1" ht="16.5" x14ac:dyDescent="0.25">
      <c r="B32" s="388" t="s">
        <v>54</v>
      </c>
      <c r="C32" s="555">
        <f>'2022 - 2024 Combined Table A1'!O52</f>
        <v>25794227.243734583</v>
      </c>
      <c r="D32" s="555"/>
      <c r="E32" s="389">
        <f>SUM(E30:E31)</f>
        <v>0.57476355657484368</v>
      </c>
      <c r="F32" s="389">
        <f>SUM(F30:F31)</f>
        <v>0.65636485607693129</v>
      </c>
      <c r="G32" s="389">
        <f t="shared" ref="G32" si="0">SUM(G30:G31)</f>
        <v>0.44059999999999999</v>
      </c>
      <c r="H32" s="389">
        <f>F32-G32</f>
        <v>0.2157648560769313</v>
      </c>
      <c r="I32" s="55"/>
      <c r="J32" s="55"/>
      <c r="P32" s="6"/>
      <c r="Q32" s="6"/>
      <c r="R32" s="8"/>
      <c r="S32" s="8"/>
      <c r="T32" s="56"/>
      <c r="U32" s="57"/>
      <c r="V32" s="8"/>
    </row>
    <row r="33" spans="2:22" s="395" customFormat="1" ht="16.5" x14ac:dyDescent="0.25">
      <c r="B33" s="390"/>
      <c r="C33" s="547"/>
      <c r="D33" s="548"/>
      <c r="E33" s="386"/>
      <c r="F33" s="387"/>
      <c r="G33" s="387"/>
      <c r="H33" s="387"/>
      <c r="I33" s="61"/>
      <c r="J33" s="61"/>
      <c r="P33" s="8"/>
      <c r="Q33" s="8"/>
      <c r="R33" s="8"/>
      <c r="S33" s="8"/>
      <c r="T33" s="8"/>
      <c r="U33" s="8"/>
      <c r="V33" s="8"/>
    </row>
    <row r="34" spans="2:22" s="395" customFormat="1" ht="16.5" x14ac:dyDescent="0.25">
      <c r="B34" s="385" t="s">
        <v>55</v>
      </c>
      <c r="C34" s="563">
        <f>'2022 - 2024 Combined Table A1'!O53</f>
        <v>13504383.894445077</v>
      </c>
      <c r="D34" s="563"/>
      <c r="E34" s="386">
        <f>SUM(C34/C43)</f>
        <v>0.30091336496264437</v>
      </c>
      <c r="F34" s="387">
        <f>SUM(C34/C37)</f>
        <v>0.34363514392306865</v>
      </c>
      <c r="G34" s="387">
        <f>1-G32</f>
        <v>0.55940000000000001</v>
      </c>
      <c r="H34" s="387">
        <f>F34-G34</f>
        <v>-0.21576485607693136</v>
      </c>
      <c r="I34" s="61"/>
      <c r="J34" s="61"/>
      <c r="P34" s="8"/>
      <c r="Q34" s="8"/>
      <c r="R34" s="8"/>
      <c r="S34" s="8"/>
      <c r="T34" s="8"/>
      <c r="U34" s="8"/>
      <c r="V34" s="8"/>
    </row>
    <row r="35" spans="2:22" s="395" customFormat="1" ht="16.5" x14ac:dyDescent="0.25">
      <c r="B35" s="388" t="s">
        <v>56</v>
      </c>
      <c r="C35" s="555">
        <f>SUM(C34)</f>
        <v>13504383.894445077</v>
      </c>
      <c r="D35" s="555"/>
      <c r="E35" s="389">
        <f>SUM(E33:E34)</f>
        <v>0.30091336496264437</v>
      </c>
      <c r="F35" s="389">
        <f>SUM(F33:F34)</f>
        <v>0.34363514392306865</v>
      </c>
      <c r="G35" s="389">
        <f t="shared" ref="G35:H35" si="1">SUM(G33:G34)</f>
        <v>0.55940000000000001</v>
      </c>
      <c r="H35" s="389">
        <f t="shared" si="1"/>
        <v>-0.21576485607693136</v>
      </c>
      <c r="I35" s="55"/>
      <c r="J35" s="62"/>
      <c r="P35" s="8"/>
      <c r="Q35" s="8"/>
      <c r="R35" s="8"/>
      <c r="S35" s="8"/>
      <c r="T35" s="8"/>
      <c r="U35" s="8"/>
      <c r="V35" s="8"/>
    </row>
    <row r="36" spans="2:22" s="395" customFormat="1" ht="16.5" x14ac:dyDescent="0.25">
      <c r="B36" s="391"/>
      <c r="C36" s="564"/>
      <c r="D36" s="565"/>
      <c r="E36" s="392"/>
      <c r="F36" s="392"/>
      <c r="G36" s="392"/>
      <c r="H36" s="392"/>
      <c r="I36" s="55"/>
      <c r="J36" s="62"/>
    </row>
    <row r="37" spans="2:22" s="395" customFormat="1" ht="16.5" x14ac:dyDescent="0.25">
      <c r="B37" s="388" t="s">
        <v>57</v>
      </c>
      <c r="C37" s="555">
        <f>SUM(C32+C35)</f>
        <v>39298611.13817966</v>
      </c>
      <c r="D37" s="555"/>
      <c r="E37" s="389">
        <f>SUM(E32+E35)</f>
        <v>0.875676921537488</v>
      </c>
      <c r="F37" s="389">
        <f>SUM(F32+F35)</f>
        <v>1</v>
      </c>
      <c r="G37" s="389">
        <f t="shared" ref="G37" si="2">SUM(G32+G35)</f>
        <v>1</v>
      </c>
      <c r="H37" s="389">
        <f>H32+H35</f>
        <v>0</v>
      </c>
      <c r="I37" s="55"/>
      <c r="J37" s="62"/>
    </row>
    <row r="38" spans="2:22" s="395" customFormat="1" ht="16.5" x14ac:dyDescent="0.25">
      <c r="B38" s="390"/>
      <c r="C38" s="547"/>
      <c r="D38" s="548"/>
      <c r="E38" s="387"/>
      <c r="F38" s="393"/>
      <c r="G38" s="393"/>
      <c r="H38" s="393"/>
      <c r="I38" s="55"/>
      <c r="J38" s="66"/>
    </row>
    <row r="39" spans="2:22" s="397" customFormat="1" ht="15" customHeight="1" x14ac:dyDescent="0.25">
      <c r="B39" s="569" t="s">
        <v>58</v>
      </c>
      <c r="C39" s="570"/>
      <c r="D39" s="570"/>
      <c r="E39" s="570"/>
      <c r="F39" s="570"/>
      <c r="G39" s="570"/>
      <c r="H39" s="570"/>
      <c r="I39" s="68"/>
      <c r="J39" s="68"/>
    </row>
    <row r="40" spans="2:22" s="397" customFormat="1" ht="26.25" customHeight="1" x14ac:dyDescent="0.25">
      <c r="B40" s="385" t="s">
        <v>58</v>
      </c>
      <c r="C40" s="554">
        <f>'2022 - 2024 Combined Table A1'!O54</f>
        <v>5579368.5956933098</v>
      </c>
      <c r="D40" s="554"/>
      <c r="E40" s="386">
        <f>C40/C43</f>
        <v>0.12432307846251194</v>
      </c>
      <c r="F40" s="391"/>
      <c r="G40" s="391"/>
      <c r="H40" s="391"/>
      <c r="I40" s="68"/>
      <c r="J40" s="68"/>
    </row>
    <row r="41" spans="2:22" s="397" customFormat="1" ht="19.5" customHeight="1" x14ac:dyDescent="0.25">
      <c r="B41" s="388" t="s">
        <v>59</v>
      </c>
      <c r="C41" s="555">
        <f>SUM(C40)</f>
        <v>5579368.5956933098</v>
      </c>
      <c r="D41" s="555"/>
      <c r="E41" s="389">
        <f>SUM(E40)</f>
        <v>0.12432307846251194</v>
      </c>
      <c r="F41" s="394"/>
      <c r="G41" s="394"/>
      <c r="H41" s="394"/>
      <c r="I41" s="68"/>
      <c r="J41" s="68"/>
    </row>
    <row r="42" spans="2:22" s="397" customFormat="1" ht="16.5" x14ac:dyDescent="0.25">
      <c r="B42" s="575"/>
      <c r="C42" s="576"/>
      <c r="D42" s="576"/>
      <c r="E42" s="576"/>
      <c r="F42" s="576"/>
      <c r="G42" s="570"/>
      <c r="H42" s="570"/>
      <c r="I42" s="68"/>
      <c r="J42" s="68"/>
    </row>
    <row r="43" spans="2:22" s="397" customFormat="1" ht="16.5" x14ac:dyDescent="0.25">
      <c r="B43" s="394" t="s">
        <v>28</v>
      </c>
      <c r="C43" s="559">
        <f>C41+C37</f>
        <v>44877979.733872972</v>
      </c>
      <c r="D43" s="559"/>
      <c r="E43" s="389">
        <f>E37+E41</f>
        <v>0.99999999999999989</v>
      </c>
      <c r="F43" s="407"/>
      <c r="G43" s="407"/>
      <c r="H43" s="407"/>
      <c r="I43" s="68"/>
      <c r="J43" s="68"/>
    </row>
    <row r="44" spans="2:22" s="397" customFormat="1" ht="21" customHeight="1" x14ac:dyDescent="0.25">
      <c r="B44" s="404" t="s">
        <v>141</v>
      </c>
      <c r="C44" s="552">
        <f>'2022 - 2024 Combined Table A1'!L55</f>
        <v>17880930.993858557</v>
      </c>
      <c r="D44" s="553"/>
      <c r="E44" s="406">
        <f>C44/C43</f>
        <v>0.39843440145685521</v>
      </c>
      <c r="F44" s="407"/>
      <c r="G44" s="407"/>
      <c r="H44" s="407"/>
    </row>
    <row r="45" spans="2:22" s="398" customFormat="1" ht="21.75" customHeight="1" x14ac:dyDescent="0.25">
      <c r="B45" s="404" t="s">
        <v>45</v>
      </c>
      <c r="C45" s="552">
        <f>'2022 - 2024 Combined Table A1'!M55</f>
        <v>14816121.033924829</v>
      </c>
      <c r="D45" s="553"/>
      <c r="E45" s="406">
        <f>C45/C43</f>
        <v>0.33014233532312792</v>
      </c>
      <c r="F45" s="407"/>
      <c r="G45" s="407"/>
      <c r="H45" s="407"/>
    </row>
    <row r="46" spans="2:22" s="398" customFormat="1" ht="19.5" customHeight="1" x14ac:dyDescent="0.25">
      <c r="B46" s="404" t="s">
        <v>46</v>
      </c>
      <c r="C46" s="552">
        <f>'2022 - 2024 Combined Table A1'!N55</f>
        <v>12180927.706089582</v>
      </c>
      <c r="D46" s="553"/>
      <c r="E46" s="406">
        <f>C46/C43</f>
        <v>0.27142326322001675</v>
      </c>
      <c r="F46" s="404"/>
      <c r="G46" s="404"/>
      <c r="H46" s="404"/>
    </row>
    <row r="48" spans="2:22" s="80" customFormat="1" ht="16.5" x14ac:dyDescent="0.25">
      <c r="B48" s="280" t="s">
        <v>256</v>
      </c>
      <c r="C48" s="430"/>
      <c r="D48" s="431"/>
      <c r="E48" s="400"/>
      <c r="F48" s="400"/>
      <c r="G48" s="432"/>
      <c r="H48" s="433"/>
    </row>
    <row r="49" spans="2:8" s="80" customFormat="1" ht="16.5" x14ac:dyDescent="0.25">
      <c r="B49" s="434" t="s">
        <v>257</v>
      </c>
      <c r="C49" s="430"/>
      <c r="D49" s="431"/>
      <c r="E49" s="433"/>
      <c r="F49" s="433"/>
      <c r="G49" s="433"/>
      <c r="H49" s="433"/>
    </row>
  </sheetData>
  <mergeCells count="20">
    <mergeCell ref="C45:D45"/>
    <mergeCell ref="C46:D46"/>
    <mergeCell ref="B39:H39"/>
    <mergeCell ref="C40:D40"/>
    <mergeCell ref="C41:D41"/>
    <mergeCell ref="B42:H42"/>
    <mergeCell ref="C43:D43"/>
    <mergeCell ref="C44:D44"/>
    <mergeCell ref="C38:D38"/>
    <mergeCell ref="B2:L2"/>
    <mergeCell ref="B3:L3"/>
    <mergeCell ref="C29:D29"/>
    <mergeCell ref="C30:D30"/>
    <mergeCell ref="C31:D31"/>
    <mergeCell ref="C32:D32"/>
    <mergeCell ref="C33:D33"/>
    <mergeCell ref="C34:D34"/>
    <mergeCell ref="C35:D35"/>
    <mergeCell ref="C36:D36"/>
    <mergeCell ref="C37:D37"/>
  </mergeCells>
  <pageMargins left="0.7" right="0.7" top="0.75" bottom="0.75" header="0.3" footer="0.3"/>
  <pageSetup scale="59"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8B2182-4CE7-48E3-B8BE-ADA5E5376ADE}">
  <sheetPr>
    <tabColor rgb="FFFFC000"/>
  </sheetPr>
  <dimension ref="B2:U53"/>
  <sheetViews>
    <sheetView topLeftCell="A22" workbookViewId="0">
      <selection activeCell="B49" sqref="B49"/>
    </sheetView>
  </sheetViews>
  <sheetFormatPr defaultColWidth="9.140625" defaultRowHeight="12.75" x14ac:dyDescent="0.2"/>
  <cols>
    <col min="1" max="1" width="9.140625" style="512"/>
    <col min="2" max="2" width="36.28515625" style="512" bestFit="1" customWidth="1"/>
    <col min="3" max="3" width="9.140625" style="512"/>
    <col min="4" max="4" width="15.7109375" style="512" bestFit="1" customWidth="1"/>
    <col min="5" max="5" width="13.42578125" style="512" customWidth="1"/>
    <col min="6" max="8" width="18.28515625" style="512" customWidth="1"/>
    <col min="9" max="16384" width="9.140625" style="512"/>
  </cols>
  <sheetData>
    <row r="2" spans="2:12" s="395" customFormat="1" ht="23.25" x14ac:dyDescent="0.35">
      <c r="B2" s="545" t="s">
        <v>308</v>
      </c>
      <c r="C2" s="545"/>
      <c r="D2" s="545"/>
      <c r="E2" s="545"/>
      <c r="F2" s="545"/>
      <c r="G2" s="586"/>
      <c r="H2" s="586"/>
      <c r="I2" s="586"/>
      <c r="J2" s="586"/>
      <c r="K2" s="586"/>
      <c r="L2" s="586"/>
    </row>
    <row r="3" spans="2:12" s="395" customFormat="1" ht="23.25" x14ac:dyDescent="0.35">
      <c r="B3" s="545" t="s">
        <v>50</v>
      </c>
      <c r="C3" s="545"/>
      <c r="D3" s="545"/>
      <c r="E3" s="545"/>
      <c r="F3" s="545"/>
      <c r="G3" s="586"/>
      <c r="H3" s="586"/>
      <c r="I3" s="586"/>
      <c r="J3" s="586"/>
      <c r="K3" s="586"/>
      <c r="L3" s="586"/>
    </row>
    <row r="28" spans="2:21" x14ac:dyDescent="0.2">
      <c r="J28" s="523" t="s">
        <v>5</v>
      </c>
    </row>
    <row r="29" spans="2:21" s="395" customFormat="1" ht="72.75" customHeight="1" x14ac:dyDescent="0.2">
      <c r="B29" s="403" t="s">
        <v>51</v>
      </c>
      <c r="C29" s="585" t="s">
        <v>192</v>
      </c>
      <c r="D29" s="585"/>
      <c r="E29" s="524" t="s">
        <v>146</v>
      </c>
      <c r="F29" s="525" t="s">
        <v>221</v>
      </c>
      <c r="G29" s="525" t="s">
        <v>324</v>
      </c>
      <c r="H29" s="525" t="s">
        <v>325</v>
      </c>
      <c r="I29" s="526"/>
      <c r="J29" s="55"/>
      <c r="T29" s="527"/>
      <c r="U29" s="528"/>
    </row>
    <row r="30" spans="2:21" s="395" customFormat="1" ht="21.75" customHeight="1" x14ac:dyDescent="0.25">
      <c r="B30" s="490" t="s">
        <v>222</v>
      </c>
      <c r="C30" s="587">
        <f>'[13]ES CT Gas 2022 Table A Pie'!C30+'[12]CNG 2022 Table A Pie Chart'!$B$28+'[12]SCG 2022 Table A Pie Chart'!$B$28</f>
        <v>10227138.912222371</v>
      </c>
      <c r="D30" s="588"/>
      <c r="E30" s="529">
        <f>SUM(C30/C47)</f>
        <v>0.22788768507115165</v>
      </c>
      <c r="F30" s="529">
        <f>C30/C41</f>
        <v>0.26024173923760957</v>
      </c>
      <c r="G30" s="521">
        <f>(0.13*0.3984)+(0.107*0.3301)+(0.134*0.2714)</f>
        <v>0.12348029999999999</v>
      </c>
      <c r="H30" s="529">
        <f>F30-G30</f>
        <v>0.13676143923760958</v>
      </c>
      <c r="I30" s="55"/>
      <c r="J30" s="55"/>
      <c r="T30" s="527"/>
      <c r="U30" s="528"/>
    </row>
    <row r="31" spans="2:21" s="395" customFormat="1" ht="21" customHeight="1" x14ac:dyDescent="0.25">
      <c r="B31" s="490" t="s">
        <v>223</v>
      </c>
      <c r="C31" s="587">
        <f>C32-C30</f>
        <v>15567088.331512213</v>
      </c>
      <c r="D31" s="588"/>
      <c r="E31" s="529">
        <f>C31/C47</f>
        <v>0.34687587150369198</v>
      </c>
      <c r="F31" s="529">
        <f>C31/C41</f>
        <v>0.39612311683932178</v>
      </c>
      <c r="G31" s="521">
        <f>(0.1988*0.3984)+(0.4671*0.3301)+(0.4419*0.2714)</f>
        <v>0.35332329000000001</v>
      </c>
      <c r="H31" s="529">
        <f>F31-G31</f>
        <v>4.2799826839321764E-2</v>
      </c>
      <c r="I31" s="55"/>
      <c r="J31" s="59"/>
      <c r="K31" s="60"/>
      <c r="L31" s="60"/>
      <c r="M31" s="60"/>
      <c r="N31" s="60"/>
      <c r="T31" s="527"/>
      <c r="U31" s="528"/>
    </row>
    <row r="32" spans="2:21" s="395" customFormat="1" ht="16.5" x14ac:dyDescent="0.25">
      <c r="B32" s="493" t="s">
        <v>54</v>
      </c>
      <c r="C32" s="568">
        <f>'[13]2022 - 2024 Combined Table A1'!O52</f>
        <v>25794227.243734583</v>
      </c>
      <c r="D32" s="568"/>
      <c r="E32" s="530">
        <f>SUM(E30:E31)</f>
        <v>0.57476355657484368</v>
      </c>
      <c r="F32" s="530">
        <f>SUM(F30:F31)</f>
        <v>0.65636485607693129</v>
      </c>
      <c r="G32" s="530">
        <f>SUM(G30:G31)</f>
        <v>0.47680359</v>
      </c>
      <c r="H32" s="530">
        <f>F32-G32</f>
        <v>0.17956126607693129</v>
      </c>
      <c r="I32" s="55"/>
      <c r="J32" s="55"/>
      <c r="T32" s="527"/>
      <c r="U32" s="528"/>
    </row>
    <row r="33" spans="2:10" s="395" customFormat="1" ht="16.5" x14ac:dyDescent="0.25">
      <c r="B33" s="531"/>
      <c r="C33" s="582"/>
      <c r="D33" s="583"/>
      <c r="E33" s="529"/>
      <c r="F33" s="529"/>
      <c r="G33" s="529"/>
      <c r="H33" s="529"/>
      <c r="I33" s="61"/>
      <c r="J33" s="61"/>
    </row>
    <row r="34" spans="2:10" s="395" customFormat="1" ht="16.5" x14ac:dyDescent="0.25">
      <c r="B34" s="490" t="s">
        <v>55</v>
      </c>
      <c r="C34" s="584">
        <f>'[13]2022 - 2024 Combined Table A1'!O53</f>
        <v>13504383.894445077</v>
      </c>
      <c r="D34" s="584"/>
      <c r="E34" s="529">
        <f>SUM(C34/C47)</f>
        <v>0.30091336496264437</v>
      </c>
      <c r="F34" s="529">
        <f>SUM(C34/C41)</f>
        <v>0.34363514392306865</v>
      </c>
      <c r="G34" s="529">
        <f>1-G32</f>
        <v>0.52319640999999995</v>
      </c>
      <c r="H34" s="529">
        <f>F34-G34</f>
        <v>-0.17956126607693129</v>
      </c>
      <c r="I34" s="61"/>
      <c r="J34" s="61"/>
    </row>
    <row r="35" spans="2:10" s="395" customFormat="1" ht="16.5" x14ac:dyDescent="0.25">
      <c r="B35" s="518" t="s">
        <v>358</v>
      </c>
      <c r="C35" s="519"/>
      <c r="D35" s="520"/>
      <c r="E35" s="521"/>
      <c r="F35" s="521">
        <f>$F$34*25%</f>
        <v>8.5908785980767163E-2</v>
      </c>
      <c r="G35" s="521">
        <f>$G$34*25%</f>
        <v>0.13079910249999999</v>
      </c>
      <c r="H35" s="529"/>
      <c r="I35" s="61"/>
      <c r="J35" s="61"/>
    </row>
    <row r="36" spans="2:10" s="395" customFormat="1" ht="16.5" x14ac:dyDescent="0.25">
      <c r="B36" s="518" t="s">
        <v>359</v>
      </c>
      <c r="C36" s="519"/>
      <c r="D36" s="520"/>
      <c r="E36" s="521"/>
      <c r="F36" s="521">
        <f>$F$34*25%</f>
        <v>8.5908785980767163E-2</v>
      </c>
      <c r="G36" s="521">
        <f>$G$34*25%</f>
        <v>0.13079910249999999</v>
      </c>
      <c r="H36" s="529"/>
      <c r="I36" s="61"/>
      <c r="J36" s="61"/>
    </row>
    <row r="37" spans="2:10" s="395" customFormat="1" ht="16.5" x14ac:dyDescent="0.25">
      <c r="B37" s="518" t="s">
        <v>360</v>
      </c>
      <c r="C37" s="519"/>
      <c r="D37" s="520"/>
      <c r="E37" s="521"/>
      <c r="F37" s="521">
        <f>$F$34*25%</f>
        <v>8.5908785980767163E-2</v>
      </c>
      <c r="G37" s="521">
        <f>$G$34*25%</f>
        <v>0.13079910249999999</v>
      </c>
      <c r="H37" s="529"/>
      <c r="I37" s="61"/>
      <c r="J37" s="61"/>
    </row>
    <row r="38" spans="2:10" s="395" customFormat="1" ht="16.5" x14ac:dyDescent="0.25">
      <c r="B38" s="518" t="s">
        <v>361</v>
      </c>
      <c r="C38" s="519"/>
      <c r="D38" s="520"/>
      <c r="E38" s="521"/>
      <c r="F38" s="521">
        <f>$F$34*25%</f>
        <v>8.5908785980767163E-2</v>
      </c>
      <c r="G38" s="521">
        <f>$G$34*25%</f>
        <v>0.13079910249999999</v>
      </c>
      <c r="H38" s="529"/>
      <c r="I38" s="61"/>
      <c r="J38" s="61"/>
    </row>
    <row r="39" spans="2:10" s="395" customFormat="1" ht="16.5" x14ac:dyDescent="0.25">
      <c r="B39" s="493" t="s">
        <v>56</v>
      </c>
      <c r="C39" s="568">
        <f>SUM(C34)</f>
        <v>13504383.894445077</v>
      </c>
      <c r="D39" s="568"/>
      <c r="E39" s="530">
        <f>SUM(E33:E34)</f>
        <v>0.30091336496264437</v>
      </c>
      <c r="F39" s="530">
        <f>SUM(F33:F34)</f>
        <v>0.34363514392306865</v>
      </c>
      <c r="G39" s="530">
        <f>SUM(G34)</f>
        <v>0.52319640999999995</v>
      </c>
      <c r="H39" s="530">
        <f>SUM(H33:H34)</f>
        <v>-0.17956126607693129</v>
      </c>
      <c r="I39" s="55"/>
      <c r="J39" s="55"/>
    </row>
    <row r="40" spans="2:10" s="395" customFormat="1" ht="16.5" x14ac:dyDescent="0.25">
      <c r="B40" s="492"/>
      <c r="C40" s="580"/>
      <c r="D40" s="581"/>
      <c r="E40" s="529"/>
      <c r="F40" s="529"/>
      <c r="G40" s="529"/>
      <c r="H40" s="529"/>
      <c r="I40" s="55"/>
      <c r="J40" s="55"/>
    </row>
    <row r="41" spans="2:10" s="395" customFormat="1" ht="16.5" x14ac:dyDescent="0.25">
      <c r="B41" s="493" t="s">
        <v>57</v>
      </c>
      <c r="C41" s="568">
        <f>SUM(C32+C39)</f>
        <v>39298611.13817966</v>
      </c>
      <c r="D41" s="568"/>
      <c r="E41" s="530">
        <f>SUM(E32+E39)</f>
        <v>0.875676921537488</v>
      </c>
      <c r="F41" s="530">
        <f>SUM(F32+F39)</f>
        <v>1</v>
      </c>
      <c r="G41" s="530">
        <f>SUM(G32+G39)</f>
        <v>1</v>
      </c>
      <c r="H41" s="530">
        <f>H32+H39</f>
        <v>0</v>
      </c>
      <c r="I41" s="55"/>
      <c r="J41" s="55"/>
    </row>
    <row r="42" spans="2:10" s="395" customFormat="1" ht="16.5" x14ac:dyDescent="0.25">
      <c r="B42" s="531"/>
      <c r="C42" s="582"/>
      <c r="D42" s="583"/>
      <c r="E42" s="529"/>
      <c r="F42" s="532"/>
      <c r="G42" s="532"/>
      <c r="H42" s="532"/>
      <c r="I42" s="55"/>
      <c r="J42" s="61"/>
    </row>
    <row r="43" spans="2:10" s="395" customFormat="1" ht="15" customHeight="1" x14ac:dyDescent="0.25">
      <c r="B43" s="569" t="s">
        <v>58</v>
      </c>
      <c r="C43" s="579"/>
      <c r="D43" s="579"/>
      <c r="E43" s="579"/>
      <c r="F43" s="579"/>
      <c r="G43" s="579"/>
      <c r="H43" s="579"/>
      <c r="I43" s="55"/>
      <c r="J43" s="55"/>
    </row>
    <row r="44" spans="2:10" s="395" customFormat="1" ht="26.25" customHeight="1" x14ac:dyDescent="0.25">
      <c r="B44" s="490" t="s">
        <v>58</v>
      </c>
      <c r="C44" s="584">
        <f>'[13]2022 - 2024 Combined Table A1'!O54</f>
        <v>5579368.5956933098</v>
      </c>
      <c r="D44" s="584"/>
      <c r="E44" s="529">
        <f>C44/C47</f>
        <v>0.12432307846251194</v>
      </c>
      <c r="F44" s="492"/>
      <c r="G44" s="492"/>
      <c r="H44" s="492"/>
      <c r="I44" s="55"/>
      <c r="J44" s="55"/>
    </row>
    <row r="45" spans="2:10" s="395" customFormat="1" ht="19.5" customHeight="1" x14ac:dyDescent="0.25">
      <c r="B45" s="493" t="s">
        <v>59</v>
      </c>
      <c r="C45" s="568">
        <f>SUM(C44)</f>
        <v>5579368.5956933098</v>
      </c>
      <c r="D45" s="568"/>
      <c r="E45" s="530">
        <f>SUM(E44)</f>
        <v>0.12432307846251194</v>
      </c>
      <c r="F45" s="495"/>
      <c r="G45" s="495"/>
      <c r="H45" s="495"/>
      <c r="I45" s="55"/>
      <c r="J45" s="55"/>
    </row>
    <row r="46" spans="2:10" s="395" customFormat="1" ht="16.5" x14ac:dyDescent="0.25">
      <c r="B46" s="575"/>
      <c r="C46" s="576"/>
      <c r="D46" s="576"/>
      <c r="E46" s="576"/>
      <c r="F46" s="576"/>
      <c r="G46" s="579"/>
      <c r="H46" s="579"/>
      <c r="I46" s="55"/>
      <c r="J46" s="55"/>
    </row>
    <row r="47" spans="2:10" s="395" customFormat="1" ht="16.5" x14ac:dyDescent="0.25">
      <c r="B47" s="495" t="s">
        <v>28</v>
      </c>
      <c r="C47" s="577">
        <f>C45+C41</f>
        <v>44877979.733872972</v>
      </c>
      <c r="D47" s="577"/>
      <c r="E47" s="530">
        <f>E41+E45</f>
        <v>0.99999999999999989</v>
      </c>
      <c r="F47" s="533"/>
      <c r="G47" s="533"/>
      <c r="H47" s="533"/>
      <c r="I47" s="55"/>
      <c r="J47" s="55"/>
    </row>
    <row r="48" spans="2:10" s="395" customFormat="1" ht="21" customHeight="1" x14ac:dyDescent="0.25">
      <c r="B48" s="495" t="s">
        <v>141</v>
      </c>
      <c r="C48" s="552">
        <f>'[13]2022 - 2024 Combined Table A1'!L55</f>
        <v>17880930.993858557</v>
      </c>
      <c r="D48" s="578"/>
      <c r="E48" s="530">
        <f>C48/C47</f>
        <v>0.39843440145685521</v>
      </c>
      <c r="F48" s="533"/>
      <c r="G48" s="533"/>
      <c r="H48" s="533"/>
    </row>
    <row r="49" spans="2:8" s="395" customFormat="1" ht="21.75" customHeight="1" x14ac:dyDescent="0.25">
      <c r="B49" s="495" t="s">
        <v>45</v>
      </c>
      <c r="C49" s="552">
        <f>'[13]2022 - 2024 Combined Table A1'!M55</f>
        <v>14816121.033924829</v>
      </c>
      <c r="D49" s="578"/>
      <c r="E49" s="530">
        <f>C49/C47</f>
        <v>0.33014233532312792</v>
      </c>
      <c r="F49" s="533"/>
      <c r="G49" s="533"/>
      <c r="H49" s="533"/>
    </row>
    <row r="50" spans="2:8" s="395" customFormat="1" ht="19.5" customHeight="1" x14ac:dyDescent="0.25">
      <c r="B50" s="495" t="s">
        <v>46</v>
      </c>
      <c r="C50" s="552">
        <f>'[13]2022 - 2024 Combined Table A1'!N55</f>
        <v>12180927.706089582</v>
      </c>
      <c r="D50" s="578"/>
      <c r="E50" s="530">
        <f>C50/C47</f>
        <v>0.27142326322001675</v>
      </c>
      <c r="F50" s="495"/>
      <c r="G50" s="495"/>
      <c r="H50" s="495"/>
    </row>
    <row r="52" spans="2:8" ht="16.5" x14ac:dyDescent="0.25">
      <c r="B52" s="513" t="s">
        <v>256</v>
      </c>
      <c r="C52" s="514"/>
      <c r="D52" s="431"/>
      <c r="E52" s="400"/>
      <c r="F52" s="400"/>
      <c r="G52" s="515"/>
      <c r="H52" s="516"/>
    </row>
    <row r="53" spans="2:8" ht="16.5" x14ac:dyDescent="0.25">
      <c r="B53" s="517" t="s">
        <v>257</v>
      </c>
      <c r="C53" s="514"/>
      <c r="D53" s="431"/>
      <c r="E53" s="516"/>
      <c r="F53" s="516"/>
      <c r="G53" s="516"/>
      <c r="H53" s="516"/>
    </row>
  </sheetData>
  <mergeCells count="20">
    <mergeCell ref="C32:D32"/>
    <mergeCell ref="C33:D33"/>
    <mergeCell ref="C34:D34"/>
    <mergeCell ref="C29:D29"/>
    <mergeCell ref="B2:L2"/>
    <mergeCell ref="B3:L3"/>
    <mergeCell ref="C30:D30"/>
    <mergeCell ref="C31:D31"/>
    <mergeCell ref="C39:D39"/>
    <mergeCell ref="C40:D40"/>
    <mergeCell ref="C41:D41"/>
    <mergeCell ref="C42:D42"/>
    <mergeCell ref="C44:D44"/>
    <mergeCell ref="B43:H43"/>
    <mergeCell ref="C45:D45"/>
    <mergeCell ref="C47:D47"/>
    <mergeCell ref="C48:D48"/>
    <mergeCell ref="C49:D49"/>
    <mergeCell ref="C50:D50"/>
    <mergeCell ref="B46:H46"/>
  </mergeCells>
  <pageMargins left="0.7" right="0.7" top="0.75" bottom="0.75" header="0.3" footer="0.3"/>
  <pageSetup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2A19CD-5F5C-42D8-9BF8-34324BC24DA7}">
  <sheetPr>
    <tabColor rgb="FFFFC000"/>
  </sheetPr>
  <dimension ref="B2:V49"/>
  <sheetViews>
    <sheetView showGridLines="0" topLeftCell="A13" zoomScale="85" zoomScaleNormal="85" workbookViewId="0">
      <selection activeCell="C45" sqref="C45:D45"/>
    </sheetView>
  </sheetViews>
  <sheetFormatPr defaultRowHeight="12.75" x14ac:dyDescent="0.2"/>
  <cols>
    <col min="2" max="2" width="36.28515625" bestFit="1" customWidth="1"/>
    <col min="4" max="4" width="15.7109375" bestFit="1" customWidth="1"/>
    <col min="5" max="5" width="13.42578125" customWidth="1"/>
    <col min="6" max="6" width="18.28515625" customWidth="1"/>
  </cols>
  <sheetData>
    <row r="2" spans="2:7" s="395" customFormat="1" ht="23.25" x14ac:dyDescent="0.35">
      <c r="B2" s="545" t="s">
        <v>309</v>
      </c>
      <c r="C2" s="545"/>
      <c r="D2" s="545"/>
      <c r="E2" s="545"/>
      <c r="F2" s="545"/>
      <c r="G2" s="43"/>
    </row>
    <row r="3" spans="2:7" s="395" customFormat="1" ht="23.25" x14ac:dyDescent="0.35">
      <c r="B3" s="545" t="s">
        <v>50</v>
      </c>
      <c r="C3" s="545"/>
      <c r="D3" s="545"/>
      <c r="E3" s="545"/>
      <c r="F3" s="545"/>
    </row>
    <row r="28" spans="2:22" x14ac:dyDescent="0.2">
      <c r="J28" s="34" t="s">
        <v>5</v>
      </c>
    </row>
    <row r="29" spans="2:22" s="395" customFormat="1" ht="72.75" customHeight="1" x14ac:dyDescent="0.2">
      <c r="B29" s="403" t="s">
        <v>51</v>
      </c>
      <c r="C29" s="560" t="s">
        <v>192</v>
      </c>
      <c r="D29" s="560"/>
      <c r="E29" s="465" t="s">
        <v>146</v>
      </c>
      <c r="F29" s="401" t="s">
        <v>221</v>
      </c>
      <c r="G29" s="44"/>
      <c r="H29" s="44"/>
      <c r="I29" s="54"/>
      <c r="J29" s="55"/>
      <c r="P29" s="6"/>
      <c r="Q29" s="6"/>
      <c r="R29" s="8"/>
      <c r="S29" s="8"/>
      <c r="T29" s="56"/>
      <c r="U29" s="57"/>
      <c r="V29" s="8"/>
    </row>
    <row r="30" spans="2:22" s="395" customFormat="1" ht="21.75" customHeight="1" x14ac:dyDescent="0.25">
      <c r="B30" s="385" t="s">
        <v>222</v>
      </c>
      <c r="C30" s="561">
        <f>'ES CT Gas 2023 Table A Pie'!C30+'[11]SCG 2023 Table A Pie Chart'!$B$28</f>
        <v>8965326.9640297424</v>
      </c>
      <c r="D30" s="562"/>
      <c r="E30" s="386">
        <f>SUM(C30/C43)</f>
        <v>0.16407271320613437</v>
      </c>
      <c r="F30" s="387">
        <f>C30/C37</f>
        <v>0.18231451198981588</v>
      </c>
      <c r="G30" s="58"/>
      <c r="H30" s="58"/>
      <c r="I30" s="55"/>
      <c r="J30" s="55"/>
      <c r="P30" s="6"/>
      <c r="Q30" s="6"/>
      <c r="R30" s="8"/>
      <c r="S30" s="8"/>
      <c r="T30" s="56"/>
      <c r="U30" s="57"/>
      <c r="V30" s="8"/>
    </row>
    <row r="31" spans="2:22" s="395" customFormat="1" ht="21" customHeight="1" x14ac:dyDescent="0.25">
      <c r="B31" s="385" t="s">
        <v>223</v>
      </c>
      <c r="C31" s="561">
        <f>C32-C30</f>
        <v>22167399.738047816</v>
      </c>
      <c r="D31" s="562"/>
      <c r="E31" s="386">
        <f>C31/C43</f>
        <v>0.40568129130581826</v>
      </c>
      <c r="F31" s="387">
        <f>C31/C37</f>
        <v>0.45078541826084284</v>
      </c>
      <c r="G31" s="58"/>
      <c r="H31" s="58"/>
      <c r="I31" s="55"/>
      <c r="J31" s="59"/>
      <c r="K31" s="60"/>
      <c r="L31" s="60"/>
      <c r="M31" s="60"/>
      <c r="N31" s="60"/>
      <c r="P31" s="6"/>
      <c r="Q31" s="6"/>
      <c r="R31" s="8"/>
      <c r="S31" s="8"/>
      <c r="T31" s="56"/>
      <c r="U31" s="57"/>
      <c r="V31" s="8"/>
    </row>
    <row r="32" spans="2:22" s="395" customFormat="1" ht="16.5" x14ac:dyDescent="0.25">
      <c r="B32" s="388" t="s">
        <v>54</v>
      </c>
      <c r="C32" s="555">
        <f>'2022 - 2024 Combined Table A1'!S52</f>
        <v>31132726.702077556</v>
      </c>
      <c r="D32" s="555"/>
      <c r="E32" s="389">
        <f>SUM(E30:E31)</f>
        <v>0.56975400451195268</v>
      </c>
      <c r="F32" s="389">
        <f>SUM(F30:F31)</f>
        <v>0.63309993025065869</v>
      </c>
      <c r="G32" s="58"/>
      <c r="H32" s="58"/>
      <c r="I32" s="55"/>
      <c r="J32" s="55"/>
      <c r="P32" s="6"/>
      <c r="Q32" s="6"/>
      <c r="R32" s="8"/>
      <c r="S32" s="8"/>
      <c r="T32" s="56"/>
      <c r="U32" s="57"/>
      <c r="V32" s="8"/>
    </row>
    <row r="33" spans="2:22" s="395" customFormat="1" ht="16.5" x14ac:dyDescent="0.25">
      <c r="B33" s="390"/>
      <c r="C33" s="547"/>
      <c r="D33" s="548"/>
      <c r="E33" s="386"/>
      <c r="F33" s="387"/>
      <c r="G33" s="58"/>
      <c r="H33" s="58"/>
      <c r="I33" s="61"/>
      <c r="J33" s="61"/>
      <c r="P33" s="8"/>
      <c r="Q33" s="8"/>
      <c r="R33" s="8"/>
      <c r="S33" s="8"/>
      <c r="T33" s="8"/>
      <c r="U33" s="8"/>
      <c r="V33" s="8"/>
    </row>
    <row r="34" spans="2:22" s="395" customFormat="1" ht="16.5" x14ac:dyDescent="0.25">
      <c r="B34" s="385" t="s">
        <v>55</v>
      </c>
      <c r="C34" s="563">
        <f>'2022 - 2024 Combined Table A1'!S53</f>
        <v>18042332.738777854</v>
      </c>
      <c r="D34" s="563"/>
      <c r="E34" s="386">
        <f>SUM(C34/C43)</f>
        <v>0.33018923870776151</v>
      </c>
      <c r="F34" s="387">
        <f>SUM(C34/C37)</f>
        <v>0.36690006974934125</v>
      </c>
      <c r="G34" s="58"/>
      <c r="H34" s="58"/>
      <c r="I34" s="61"/>
      <c r="J34" s="61"/>
      <c r="P34" s="8"/>
      <c r="Q34" s="8"/>
      <c r="R34" s="8"/>
      <c r="S34" s="8"/>
      <c r="T34" s="8"/>
      <c r="U34" s="8"/>
      <c r="V34" s="8"/>
    </row>
    <row r="35" spans="2:22" s="395" customFormat="1" ht="16.5" x14ac:dyDescent="0.25">
      <c r="B35" s="388" t="s">
        <v>56</v>
      </c>
      <c r="C35" s="555">
        <f>SUM(C34)</f>
        <v>18042332.738777854</v>
      </c>
      <c r="D35" s="555"/>
      <c r="E35" s="389">
        <f>SUM(E33:E34)</f>
        <v>0.33018923870776151</v>
      </c>
      <c r="F35" s="389">
        <f>SUM(F33:F34)</f>
        <v>0.36690006974934125</v>
      </c>
      <c r="G35" s="58"/>
      <c r="H35" s="58"/>
      <c r="I35" s="55"/>
      <c r="J35" s="62"/>
      <c r="P35" s="8"/>
      <c r="Q35" s="8"/>
      <c r="R35" s="8"/>
      <c r="S35" s="8"/>
      <c r="T35" s="8"/>
      <c r="U35" s="8"/>
      <c r="V35" s="8"/>
    </row>
    <row r="36" spans="2:22" s="395" customFormat="1" ht="16.5" x14ac:dyDescent="0.25">
      <c r="B36" s="391"/>
      <c r="C36" s="564"/>
      <c r="D36" s="565"/>
      <c r="E36" s="392"/>
      <c r="F36" s="392"/>
      <c r="G36" s="63"/>
      <c r="H36" s="63"/>
      <c r="I36" s="55"/>
      <c r="J36" s="62"/>
    </row>
    <row r="37" spans="2:22" s="395" customFormat="1" ht="16.5" x14ac:dyDescent="0.25">
      <c r="B37" s="388" t="s">
        <v>57</v>
      </c>
      <c r="C37" s="555">
        <f>SUM(C32+C35)</f>
        <v>49175059.440855414</v>
      </c>
      <c r="D37" s="555"/>
      <c r="E37" s="389">
        <f>SUM(E32+E35)</f>
        <v>0.8999432432197142</v>
      </c>
      <c r="F37" s="389">
        <f>SUM(F32+F35)</f>
        <v>1</v>
      </c>
      <c r="G37" s="58"/>
      <c r="H37" s="64"/>
      <c r="I37" s="55"/>
      <c r="J37" s="62"/>
    </row>
    <row r="38" spans="2:22" s="395" customFormat="1" ht="16.5" x14ac:dyDescent="0.25">
      <c r="B38" s="390"/>
      <c r="C38" s="547"/>
      <c r="D38" s="548"/>
      <c r="E38" s="387"/>
      <c r="F38" s="393"/>
      <c r="G38" s="65"/>
      <c r="H38" s="65"/>
      <c r="I38" s="55"/>
      <c r="J38" s="66"/>
    </row>
    <row r="39" spans="2:22" s="397" customFormat="1" ht="15" customHeight="1" x14ac:dyDescent="0.25">
      <c r="B39" s="549" t="s">
        <v>58</v>
      </c>
      <c r="C39" s="550"/>
      <c r="D39" s="550"/>
      <c r="E39" s="550"/>
      <c r="F39" s="551"/>
      <c r="G39" s="67"/>
      <c r="H39" s="69"/>
      <c r="I39" s="68"/>
      <c r="J39" s="68"/>
    </row>
    <row r="40" spans="2:22" s="397" customFormat="1" ht="26.25" customHeight="1" x14ac:dyDescent="0.25">
      <c r="B40" s="385" t="s">
        <v>58</v>
      </c>
      <c r="C40" s="554">
        <f>'2022 - 2024 Combined Table A1'!S54</f>
        <v>5467341.4120278247</v>
      </c>
      <c r="D40" s="554"/>
      <c r="E40" s="386">
        <f>C40/C43</f>
        <v>0.1000567567802859</v>
      </c>
      <c r="F40" s="391"/>
      <c r="G40" s="67"/>
      <c r="H40" s="69"/>
      <c r="I40" s="68"/>
      <c r="J40" s="68"/>
    </row>
    <row r="41" spans="2:22" s="397" customFormat="1" ht="19.5" customHeight="1" x14ac:dyDescent="0.25">
      <c r="B41" s="388" t="s">
        <v>59</v>
      </c>
      <c r="C41" s="555">
        <f>SUM(C40)</f>
        <v>5467341.4120278247</v>
      </c>
      <c r="D41" s="555"/>
      <c r="E41" s="389">
        <f>SUM(E40)</f>
        <v>0.1000567567802859</v>
      </c>
      <c r="F41" s="394"/>
      <c r="G41" s="67"/>
      <c r="H41" s="70"/>
      <c r="I41" s="68"/>
      <c r="J41" s="68"/>
    </row>
    <row r="42" spans="2:22" s="397" customFormat="1" ht="16.5" x14ac:dyDescent="0.25">
      <c r="B42" s="556"/>
      <c r="C42" s="557"/>
      <c r="D42" s="557"/>
      <c r="E42" s="557"/>
      <c r="F42" s="558"/>
      <c r="G42" s="71"/>
      <c r="H42" s="72"/>
      <c r="I42" s="68"/>
      <c r="J42" s="68"/>
    </row>
    <row r="43" spans="2:22" s="397" customFormat="1" ht="16.5" x14ac:dyDescent="0.25">
      <c r="B43" s="394" t="s">
        <v>28</v>
      </c>
      <c r="C43" s="559">
        <f>C41+C37</f>
        <v>54642400.852883235</v>
      </c>
      <c r="D43" s="559"/>
      <c r="E43" s="389">
        <f>E37+E41</f>
        <v>1</v>
      </c>
      <c r="F43" s="407"/>
      <c r="G43" s="68"/>
      <c r="H43" s="68"/>
      <c r="I43" s="68"/>
      <c r="J43" s="68"/>
    </row>
    <row r="44" spans="2:22" s="397" customFormat="1" ht="21" customHeight="1" x14ac:dyDescent="0.25">
      <c r="B44" s="404" t="s">
        <v>141</v>
      </c>
      <c r="C44" s="552">
        <f>'2022 - 2024 Combined Table A1'!P55</f>
        <v>23568352.973858561</v>
      </c>
      <c r="D44" s="553"/>
      <c r="E44" s="406">
        <f>C44/C43</f>
        <v>0.43131986526933441</v>
      </c>
      <c r="F44" s="407"/>
      <c r="G44" s="153"/>
    </row>
    <row r="45" spans="2:22" s="398" customFormat="1" ht="21.75" customHeight="1" x14ac:dyDescent="0.25">
      <c r="B45" s="404" t="s">
        <v>45</v>
      </c>
      <c r="C45" s="552">
        <f>'2022 - 2024 Combined Table A1'!Q55</f>
        <v>16381537.071539544</v>
      </c>
      <c r="D45" s="553"/>
      <c r="E45" s="406">
        <f>C45/C43</f>
        <v>0.29979533870856928</v>
      </c>
      <c r="F45" s="407"/>
      <c r="G45" s="199"/>
    </row>
    <row r="46" spans="2:22" s="398" customFormat="1" ht="19.5" customHeight="1" x14ac:dyDescent="0.25">
      <c r="B46" s="404" t="s">
        <v>46</v>
      </c>
      <c r="C46" s="552">
        <f>'2022 - 2024 Combined Table A1'!R55</f>
        <v>14692510.807485139</v>
      </c>
      <c r="D46" s="553"/>
      <c r="E46" s="406">
        <f>C46/C43</f>
        <v>0.26888479602209647</v>
      </c>
      <c r="F46" s="404"/>
      <c r="G46" s="199"/>
    </row>
    <row r="48" spans="2:22" s="80" customFormat="1" ht="16.5" x14ac:dyDescent="0.25">
      <c r="B48" s="280" t="s">
        <v>256</v>
      </c>
      <c r="C48" s="430"/>
      <c r="D48" s="431"/>
      <c r="E48" s="400"/>
      <c r="F48" s="400"/>
      <c r="G48" s="432"/>
      <c r="H48" s="433"/>
    </row>
    <row r="49" spans="2:8" s="80" customFormat="1" ht="16.5" x14ac:dyDescent="0.25">
      <c r="B49" s="434" t="s">
        <v>257</v>
      </c>
      <c r="C49" s="430"/>
      <c r="D49" s="431"/>
      <c r="E49" s="433"/>
      <c r="F49" s="433"/>
      <c r="G49" s="433"/>
      <c r="H49" s="433"/>
    </row>
  </sheetData>
  <mergeCells count="20">
    <mergeCell ref="C38:D38"/>
    <mergeCell ref="B2:F2"/>
    <mergeCell ref="B3:F3"/>
    <mergeCell ref="C29:D29"/>
    <mergeCell ref="C30:D30"/>
    <mergeCell ref="C31:D31"/>
    <mergeCell ref="C32:D32"/>
    <mergeCell ref="C33:D33"/>
    <mergeCell ref="C34:D34"/>
    <mergeCell ref="C35:D35"/>
    <mergeCell ref="C36:D36"/>
    <mergeCell ref="C37:D37"/>
    <mergeCell ref="C45:D45"/>
    <mergeCell ref="C46:D46"/>
    <mergeCell ref="B39:F39"/>
    <mergeCell ref="C40:D40"/>
    <mergeCell ref="C41:D41"/>
    <mergeCell ref="B42:F42"/>
    <mergeCell ref="C43:D43"/>
    <mergeCell ref="C44:D44"/>
  </mergeCells>
  <pageMargins left="0.7" right="0.7" top="0.75" bottom="0.75" header="0.3" footer="0.3"/>
  <pageSetup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FC0110-8DF1-40CE-A66B-C568D45C2CAF}">
  <sheetPr>
    <tabColor rgb="FFFFC000"/>
  </sheetPr>
  <dimension ref="B2:U53"/>
  <sheetViews>
    <sheetView topLeftCell="A29" workbookViewId="0">
      <selection activeCell="C49" sqref="C49:D49"/>
    </sheetView>
  </sheetViews>
  <sheetFormatPr defaultColWidth="9.140625" defaultRowHeight="12.75" x14ac:dyDescent="0.2"/>
  <cols>
    <col min="1" max="1" width="9.140625" style="522"/>
    <col min="2" max="2" width="36.28515625" style="522" bestFit="1" customWidth="1"/>
    <col min="3" max="3" width="9.140625" style="522"/>
    <col min="4" max="4" width="15.7109375" style="522" bestFit="1" customWidth="1"/>
    <col min="5" max="5" width="13.42578125" style="522" customWidth="1"/>
    <col min="6" max="8" width="18.28515625" style="522" customWidth="1"/>
    <col min="9" max="16384" width="9.140625" style="522"/>
  </cols>
  <sheetData>
    <row r="2" spans="2:12" s="395" customFormat="1" ht="23.25" x14ac:dyDescent="0.35">
      <c r="B2" s="545" t="s">
        <v>309</v>
      </c>
      <c r="C2" s="545"/>
      <c r="D2" s="545"/>
      <c r="E2" s="545"/>
      <c r="F2" s="545"/>
      <c r="G2" s="586"/>
      <c r="H2" s="586"/>
      <c r="I2" s="586"/>
      <c r="J2" s="586"/>
      <c r="K2" s="586"/>
      <c r="L2" s="586"/>
    </row>
    <row r="3" spans="2:12" s="395" customFormat="1" ht="23.25" x14ac:dyDescent="0.35">
      <c r="B3" s="545" t="s">
        <v>50</v>
      </c>
      <c r="C3" s="545"/>
      <c r="D3" s="545"/>
      <c r="E3" s="545"/>
      <c r="F3" s="545"/>
      <c r="G3" s="586"/>
      <c r="H3" s="586"/>
      <c r="I3" s="586"/>
      <c r="J3" s="586"/>
      <c r="K3" s="586"/>
      <c r="L3" s="586"/>
    </row>
    <row r="28" spans="2:21" x14ac:dyDescent="0.2">
      <c r="J28" s="523" t="s">
        <v>5</v>
      </c>
    </row>
    <row r="29" spans="2:21" s="395" customFormat="1" ht="72.75" customHeight="1" x14ac:dyDescent="0.2">
      <c r="B29" s="403" t="s">
        <v>51</v>
      </c>
      <c r="C29" s="585" t="s">
        <v>192</v>
      </c>
      <c r="D29" s="585"/>
      <c r="E29" s="524" t="s">
        <v>146</v>
      </c>
      <c r="F29" s="525" t="s">
        <v>221</v>
      </c>
      <c r="G29" s="525" t="s">
        <v>324</v>
      </c>
      <c r="H29" s="525" t="s">
        <v>325</v>
      </c>
      <c r="I29" s="526"/>
      <c r="J29" s="55"/>
      <c r="T29" s="527"/>
      <c r="U29" s="528"/>
    </row>
    <row r="30" spans="2:21" s="395" customFormat="1" ht="21.75" customHeight="1" x14ac:dyDescent="0.25">
      <c r="B30" s="490" t="s">
        <v>222</v>
      </c>
      <c r="C30" s="561">
        <f>'ES CT Gas 2023 Table A Pie'!C30+'[11]SCG 2023 Table A Pie Chart'!$B$28</f>
        <v>8965326.9640297424</v>
      </c>
      <c r="D30" s="562"/>
      <c r="E30" s="529">
        <f>SUM(C30/C47)</f>
        <v>0.16407271320613437</v>
      </c>
      <c r="F30" s="529">
        <f>C30/C41</f>
        <v>0.18231451198981588</v>
      </c>
      <c r="G30" s="521">
        <f>(0.13*0.4369)+(0.107*0.2969)+(0.134*0.2663)</f>
        <v>0.1242495</v>
      </c>
      <c r="H30" s="529">
        <f>F30-G30</f>
        <v>5.8065011989815882E-2</v>
      </c>
      <c r="I30" s="55"/>
      <c r="J30" s="55"/>
      <c r="T30" s="527"/>
      <c r="U30" s="528"/>
    </row>
    <row r="31" spans="2:21" s="395" customFormat="1" ht="21" customHeight="1" x14ac:dyDescent="0.25">
      <c r="B31" s="490" t="s">
        <v>223</v>
      </c>
      <c r="C31" s="587">
        <v>22167399.738047816</v>
      </c>
      <c r="D31" s="588"/>
      <c r="E31" s="529">
        <f>C31/C47</f>
        <v>0.40568129130581826</v>
      </c>
      <c r="F31" s="529">
        <f>C31/C41</f>
        <v>0.45078541826084284</v>
      </c>
      <c r="G31" s="521">
        <f>(0.1951*0.4369)+(0.4671*0.2969)+(0.4419*0.2663)</f>
        <v>0.34159914999999996</v>
      </c>
      <c r="H31" s="529">
        <f>F31-G31</f>
        <v>0.10918626826084288</v>
      </c>
      <c r="I31" s="55"/>
      <c r="J31" s="59"/>
      <c r="K31" s="60"/>
      <c r="L31" s="60"/>
      <c r="M31" s="60"/>
      <c r="N31" s="60"/>
      <c r="T31" s="527"/>
      <c r="U31" s="528"/>
    </row>
    <row r="32" spans="2:21" s="395" customFormat="1" ht="16.5" x14ac:dyDescent="0.25">
      <c r="B32" s="493" t="s">
        <v>54</v>
      </c>
      <c r="C32" s="568">
        <f>SUM(C30:D31)</f>
        <v>31132726.70207756</v>
      </c>
      <c r="D32" s="568"/>
      <c r="E32" s="530">
        <f>SUM(E30:E31)</f>
        <v>0.56975400451195268</v>
      </c>
      <c r="F32" s="534">
        <f>SUM(F30:F31)</f>
        <v>0.63309993025065869</v>
      </c>
      <c r="G32" s="534">
        <f>SUM(G30:G31)</f>
        <v>0.46584864999999998</v>
      </c>
      <c r="H32" s="530">
        <f>F32-G32</f>
        <v>0.16725128025065872</v>
      </c>
      <c r="I32" s="55"/>
      <c r="J32" s="55"/>
      <c r="T32" s="527"/>
      <c r="U32" s="528"/>
    </row>
    <row r="33" spans="2:10" s="395" customFormat="1" ht="16.5" x14ac:dyDescent="0.25">
      <c r="B33" s="531"/>
      <c r="C33" s="582"/>
      <c r="D33" s="583"/>
      <c r="E33" s="529"/>
      <c r="F33" s="529"/>
      <c r="G33" s="529"/>
      <c r="H33" s="529"/>
      <c r="I33" s="61"/>
      <c r="J33" s="61"/>
    </row>
    <row r="34" spans="2:10" s="395" customFormat="1" ht="16.5" x14ac:dyDescent="0.25">
      <c r="B34" s="490" t="s">
        <v>55</v>
      </c>
      <c r="C34" s="563">
        <f>'2022 - 2024 Combined Table A1'!S53</f>
        <v>18042332.738777854</v>
      </c>
      <c r="D34" s="563"/>
      <c r="E34" s="529">
        <f>SUM(C34/C47)</f>
        <v>0.33018923870776151</v>
      </c>
      <c r="F34" s="529">
        <f>SUM(C34/C41)</f>
        <v>0.36690006974934125</v>
      </c>
      <c r="G34" s="529">
        <f>1-G32</f>
        <v>0.53415135000000002</v>
      </c>
      <c r="H34" s="529">
        <f>F34-G34</f>
        <v>-0.16725128025065877</v>
      </c>
      <c r="I34" s="61"/>
      <c r="J34" s="61"/>
    </row>
    <row r="35" spans="2:10" s="395" customFormat="1" ht="16.5" x14ac:dyDescent="0.25">
      <c r="B35" s="518" t="s">
        <v>358</v>
      </c>
      <c r="C35" s="519"/>
      <c r="D35" s="520"/>
      <c r="E35" s="521"/>
      <c r="F35" s="521">
        <f>$F$34*25%</f>
        <v>9.1725017437335313E-2</v>
      </c>
      <c r="G35" s="521">
        <f>$G$34*25%</f>
        <v>0.13353783750000001</v>
      </c>
      <c r="H35" s="529"/>
      <c r="I35" s="61"/>
      <c r="J35" s="61"/>
    </row>
    <row r="36" spans="2:10" s="395" customFormat="1" ht="16.5" x14ac:dyDescent="0.25">
      <c r="B36" s="518" t="s">
        <v>359</v>
      </c>
      <c r="C36" s="519"/>
      <c r="D36" s="520"/>
      <c r="E36" s="521"/>
      <c r="F36" s="521">
        <f>$F$34*25%</f>
        <v>9.1725017437335313E-2</v>
      </c>
      <c r="G36" s="521">
        <f>$G$34*25%</f>
        <v>0.13353783750000001</v>
      </c>
      <c r="H36" s="529"/>
      <c r="I36" s="61"/>
      <c r="J36" s="61"/>
    </row>
    <row r="37" spans="2:10" s="395" customFormat="1" ht="16.5" x14ac:dyDescent="0.25">
      <c r="B37" s="518" t="s">
        <v>360</v>
      </c>
      <c r="C37" s="519"/>
      <c r="D37" s="520"/>
      <c r="E37" s="521"/>
      <c r="F37" s="521">
        <f>$F$34*25%</f>
        <v>9.1725017437335313E-2</v>
      </c>
      <c r="G37" s="521">
        <f>$G$34*25%</f>
        <v>0.13353783750000001</v>
      </c>
      <c r="H37" s="529"/>
      <c r="I37" s="61"/>
      <c r="J37" s="61"/>
    </row>
    <row r="38" spans="2:10" s="395" customFormat="1" ht="16.5" x14ac:dyDescent="0.25">
      <c r="B38" s="518" t="s">
        <v>361</v>
      </c>
      <c r="C38" s="519"/>
      <c r="D38" s="520"/>
      <c r="E38" s="521"/>
      <c r="F38" s="521">
        <f>$F$34*25%</f>
        <v>9.1725017437335313E-2</v>
      </c>
      <c r="G38" s="521">
        <f>$G$34*25%</f>
        <v>0.13353783750000001</v>
      </c>
      <c r="H38" s="529"/>
      <c r="I38" s="61"/>
      <c r="J38" s="61"/>
    </row>
    <row r="39" spans="2:10" s="395" customFormat="1" ht="16.5" x14ac:dyDescent="0.25">
      <c r="B39" s="493" t="s">
        <v>56</v>
      </c>
      <c r="C39" s="568">
        <f>SUM(C34)</f>
        <v>18042332.738777854</v>
      </c>
      <c r="D39" s="568"/>
      <c r="E39" s="530">
        <f>SUM(E33:E34)</f>
        <v>0.33018923870776151</v>
      </c>
      <c r="F39" s="530">
        <f>SUM(F33:F34)</f>
        <v>0.36690006974934125</v>
      </c>
      <c r="G39" s="530">
        <f>SUM(G33:G34)</f>
        <v>0.53415135000000002</v>
      </c>
      <c r="H39" s="530">
        <f>SUM(H33:H34)</f>
        <v>-0.16725128025065877</v>
      </c>
      <c r="I39" s="55"/>
      <c r="J39" s="55"/>
    </row>
    <row r="40" spans="2:10" s="395" customFormat="1" ht="16.5" x14ac:dyDescent="0.25">
      <c r="B40" s="492"/>
      <c r="C40" s="580"/>
      <c r="D40" s="581"/>
      <c r="E40" s="529"/>
      <c r="F40" s="529"/>
      <c r="G40" s="529"/>
      <c r="H40" s="529"/>
      <c r="I40" s="55"/>
      <c r="J40" s="55"/>
    </row>
    <row r="41" spans="2:10" s="395" customFormat="1" ht="16.5" x14ac:dyDescent="0.25">
      <c r="B41" s="493" t="s">
        <v>57</v>
      </c>
      <c r="C41" s="568">
        <f>SUM(C32+C39)</f>
        <v>49175059.440855414</v>
      </c>
      <c r="D41" s="568"/>
      <c r="E41" s="530">
        <f>SUM(E32+E39)</f>
        <v>0.8999432432197142</v>
      </c>
      <c r="F41" s="530">
        <f>SUM(F32+F39)</f>
        <v>1</v>
      </c>
      <c r="G41" s="530">
        <f>SUM(G32+G39)</f>
        <v>1</v>
      </c>
      <c r="H41" s="530">
        <f>H32+H39</f>
        <v>0</v>
      </c>
      <c r="I41" s="55"/>
      <c r="J41" s="55"/>
    </row>
    <row r="42" spans="2:10" s="395" customFormat="1" ht="16.5" x14ac:dyDescent="0.25">
      <c r="B42" s="531"/>
      <c r="C42" s="582"/>
      <c r="D42" s="583"/>
      <c r="E42" s="535"/>
      <c r="F42" s="536"/>
      <c r="G42" s="536"/>
      <c r="H42" s="536"/>
      <c r="I42" s="55"/>
      <c r="J42" s="61"/>
    </row>
    <row r="43" spans="2:10" s="395" customFormat="1" ht="15" customHeight="1" x14ac:dyDescent="0.25">
      <c r="B43" s="569" t="s">
        <v>58</v>
      </c>
      <c r="C43" s="579"/>
      <c r="D43" s="579"/>
      <c r="E43" s="579"/>
      <c r="F43" s="579"/>
      <c r="G43" s="579"/>
      <c r="H43" s="579"/>
      <c r="I43" s="55"/>
      <c r="J43" s="55"/>
    </row>
    <row r="44" spans="2:10" s="395" customFormat="1" ht="26.25" customHeight="1" x14ac:dyDescent="0.25">
      <c r="B44" s="490" t="s">
        <v>58</v>
      </c>
      <c r="C44" s="554">
        <f>'2022 - 2024 Combined Table A1'!S54</f>
        <v>5467341.4120278247</v>
      </c>
      <c r="D44" s="554"/>
      <c r="E44" s="529">
        <f>C44/C47</f>
        <v>0.1000567567802859</v>
      </c>
      <c r="F44" s="492"/>
      <c r="G44" s="492"/>
      <c r="H44" s="492"/>
      <c r="I44" s="55"/>
      <c r="J44" s="55"/>
    </row>
    <row r="45" spans="2:10" s="395" customFormat="1" ht="19.5" customHeight="1" x14ac:dyDescent="0.25">
      <c r="B45" s="493" t="s">
        <v>59</v>
      </c>
      <c r="C45" s="568">
        <f>SUM(C44)</f>
        <v>5467341.4120278247</v>
      </c>
      <c r="D45" s="568"/>
      <c r="E45" s="530">
        <f>SUM(E44)</f>
        <v>0.1000567567802859</v>
      </c>
      <c r="F45" s="495"/>
      <c r="G45" s="495"/>
      <c r="H45" s="495"/>
      <c r="I45" s="55"/>
      <c r="J45" s="55"/>
    </row>
    <row r="46" spans="2:10" s="395" customFormat="1" ht="16.5" x14ac:dyDescent="0.25">
      <c r="B46" s="575"/>
      <c r="C46" s="576"/>
      <c r="D46" s="576"/>
      <c r="E46" s="576"/>
      <c r="F46" s="576"/>
      <c r="G46" s="579"/>
      <c r="H46" s="579"/>
      <c r="I46" s="55"/>
      <c r="J46" s="55"/>
    </row>
    <row r="47" spans="2:10" s="395" customFormat="1" ht="16.5" x14ac:dyDescent="0.25">
      <c r="B47" s="495" t="s">
        <v>28</v>
      </c>
      <c r="C47" s="552">
        <f>C45+C41</f>
        <v>54642400.852883235</v>
      </c>
      <c r="D47" s="589"/>
      <c r="E47" s="530">
        <f>E41+E45</f>
        <v>1</v>
      </c>
      <c r="F47" s="533"/>
      <c r="G47" s="533"/>
      <c r="H47" s="533"/>
      <c r="I47" s="55"/>
      <c r="J47" s="55"/>
    </row>
    <row r="48" spans="2:10" s="395" customFormat="1" ht="21" customHeight="1" x14ac:dyDescent="0.25">
      <c r="B48" s="495" t="s">
        <v>141</v>
      </c>
      <c r="C48" s="552">
        <f>'2022 - 2024 Combined Table A1'!P55</f>
        <v>23568352.973858561</v>
      </c>
      <c r="D48" s="589"/>
      <c r="E48" s="530">
        <f>C48/C47</f>
        <v>0.43131986526933441</v>
      </c>
      <c r="F48" s="533"/>
      <c r="G48" s="533"/>
      <c r="H48" s="533"/>
    </row>
    <row r="49" spans="2:8" s="395" customFormat="1" ht="21.75" customHeight="1" x14ac:dyDescent="0.25">
      <c r="B49" s="495" t="s">
        <v>45</v>
      </c>
      <c r="C49" s="552">
        <f>'2022 - 2024 Combined Table A1'!Q55</f>
        <v>16381537.071539544</v>
      </c>
      <c r="D49" s="578"/>
      <c r="E49" s="530">
        <f>C49/C47</f>
        <v>0.29979533870856928</v>
      </c>
      <c r="F49" s="533"/>
      <c r="G49" s="533"/>
      <c r="H49" s="533"/>
    </row>
    <row r="50" spans="2:8" s="395" customFormat="1" ht="19.5" customHeight="1" x14ac:dyDescent="0.25">
      <c r="B50" s="495" t="s">
        <v>46</v>
      </c>
      <c r="C50" s="552">
        <f>'2022 - 2024 Combined Table A1'!R55</f>
        <v>14692510.807485139</v>
      </c>
      <c r="D50" s="578"/>
      <c r="E50" s="530">
        <f>C50/C47</f>
        <v>0.26888479602209647</v>
      </c>
      <c r="F50" s="495"/>
      <c r="G50" s="495"/>
      <c r="H50" s="495"/>
    </row>
    <row r="52" spans="2:8" ht="16.5" x14ac:dyDescent="0.25">
      <c r="B52" s="513" t="s">
        <v>256</v>
      </c>
      <c r="C52" s="514"/>
      <c r="D52" s="431"/>
      <c r="E52" s="400"/>
      <c r="F52" s="400"/>
      <c r="G52" s="515"/>
      <c r="H52" s="516"/>
    </row>
    <row r="53" spans="2:8" ht="16.5" x14ac:dyDescent="0.25">
      <c r="B53" s="517" t="s">
        <v>257</v>
      </c>
      <c r="C53" s="514"/>
      <c r="D53" s="431"/>
      <c r="E53" s="516"/>
      <c r="F53" s="516"/>
      <c r="G53" s="516"/>
      <c r="H53" s="516"/>
    </row>
  </sheetData>
  <mergeCells count="20">
    <mergeCell ref="C45:D45"/>
    <mergeCell ref="C47:D47"/>
    <mergeCell ref="C48:D48"/>
    <mergeCell ref="C49:D49"/>
    <mergeCell ref="C50:D50"/>
    <mergeCell ref="B46:H46"/>
    <mergeCell ref="C39:D39"/>
    <mergeCell ref="C40:D40"/>
    <mergeCell ref="C41:D41"/>
    <mergeCell ref="C42:D42"/>
    <mergeCell ref="C44:D44"/>
    <mergeCell ref="B43:H43"/>
    <mergeCell ref="C32:D32"/>
    <mergeCell ref="C33:D33"/>
    <mergeCell ref="C34:D34"/>
    <mergeCell ref="C29:D29"/>
    <mergeCell ref="B2:L2"/>
    <mergeCell ref="B3:L3"/>
    <mergeCell ref="C30:D30"/>
    <mergeCell ref="C31:D31"/>
  </mergeCells>
  <pageMargins left="0.7" right="0.7" top="0.75" bottom="0.75" header="0.3" footer="0.3"/>
  <pageSetup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C2AF1B-34A4-4A16-98F1-3E4BC1C36453}">
  <sheetPr>
    <tabColor rgb="FFFFC000"/>
  </sheetPr>
  <dimension ref="B2:V49"/>
  <sheetViews>
    <sheetView showGridLines="0" topLeftCell="A15" zoomScale="85" zoomScaleNormal="85" workbookViewId="0">
      <selection activeCell="C43" sqref="C43:D43"/>
    </sheetView>
  </sheetViews>
  <sheetFormatPr defaultRowHeight="12.75" x14ac:dyDescent="0.2"/>
  <cols>
    <col min="2" max="2" width="36.28515625" bestFit="1" customWidth="1"/>
    <col min="4" max="4" width="15.7109375" bestFit="1" customWidth="1"/>
    <col min="5" max="5" width="13.42578125" customWidth="1"/>
    <col min="6" max="6" width="18.28515625" customWidth="1"/>
  </cols>
  <sheetData>
    <row r="2" spans="2:7" s="395" customFormat="1" ht="23.25" x14ac:dyDescent="0.35">
      <c r="B2" s="545" t="s">
        <v>310</v>
      </c>
      <c r="C2" s="545"/>
      <c r="D2" s="545"/>
      <c r="E2" s="545"/>
      <c r="F2" s="545"/>
      <c r="G2" s="43"/>
    </row>
    <row r="3" spans="2:7" s="395" customFormat="1" ht="23.25" x14ac:dyDescent="0.35">
      <c r="B3" s="545" t="s">
        <v>50</v>
      </c>
      <c r="C3" s="545"/>
      <c r="D3" s="545"/>
      <c r="E3" s="545"/>
      <c r="F3" s="545"/>
    </row>
    <row r="28" spans="2:22" x14ac:dyDescent="0.2">
      <c r="J28" s="34" t="s">
        <v>5</v>
      </c>
    </row>
    <row r="29" spans="2:22" s="395" customFormat="1" ht="72.75" customHeight="1" x14ac:dyDescent="0.2">
      <c r="B29" s="403" t="s">
        <v>51</v>
      </c>
      <c r="C29" s="560" t="s">
        <v>192</v>
      </c>
      <c r="D29" s="560"/>
      <c r="E29" s="465" t="s">
        <v>146</v>
      </c>
      <c r="F29" s="401" t="s">
        <v>221</v>
      </c>
      <c r="G29" s="44"/>
      <c r="H29" s="44"/>
      <c r="I29" s="54"/>
      <c r="J29" s="55"/>
      <c r="P29" s="6"/>
      <c r="Q29" s="6"/>
      <c r="R29" s="8"/>
      <c r="S29" s="8"/>
      <c r="T29" s="56"/>
      <c r="U29" s="57"/>
      <c r="V29" s="8"/>
    </row>
    <row r="30" spans="2:22" s="395" customFormat="1" ht="21.75" customHeight="1" x14ac:dyDescent="0.25">
      <c r="B30" s="385" t="s">
        <v>222</v>
      </c>
      <c r="C30" s="561">
        <f>'ES CT Gas 2024 Table A Pie'!C30+'[11]SCG 2024 Table A Pie Chart'!$B$28</f>
        <v>9209521.5581771415</v>
      </c>
      <c r="D30" s="562"/>
      <c r="E30" s="386">
        <f>SUM(C30/C43)</f>
        <v>0.16674581896939869</v>
      </c>
      <c r="F30" s="387">
        <f>C30/C37</f>
        <v>0.18499874805653016</v>
      </c>
      <c r="G30" s="58" t="s">
        <v>330</v>
      </c>
      <c r="H30" s="58"/>
      <c r="I30" s="55"/>
      <c r="J30" s="55"/>
      <c r="P30" s="6"/>
      <c r="Q30" s="6"/>
      <c r="R30" s="8"/>
      <c r="S30" s="8"/>
      <c r="T30" s="56"/>
      <c r="U30" s="57"/>
      <c r="V30" s="8"/>
    </row>
    <row r="31" spans="2:22" s="395" customFormat="1" ht="21" customHeight="1" x14ac:dyDescent="0.25">
      <c r="B31" s="385" t="s">
        <v>223</v>
      </c>
      <c r="C31" s="561">
        <f>C32-C30</f>
        <v>22364150.289909348</v>
      </c>
      <c r="D31" s="562"/>
      <c r="E31" s="386">
        <f>C31/C43</f>
        <v>0.40492098662112946</v>
      </c>
      <c r="F31" s="387">
        <f>C31/C37</f>
        <v>0.44924590043526941</v>
      </c>
      <c r="G31" s="58"/>
      <c r="H31" s="58"/>
      <c r="I31" s="55"/>
      <c r="J31" s="59"/>
      <c r="K31" s="60"/>
      <c r="L31" s="60"/>
      <c r="M31" s="60"/>
      <c r="N31" s="60"/>
      <c r="P31" s="6"/>
      <c r="Q31" s="6"/>
      <c r="R31" s="8"/>
      <c r="S31" s="8"/>
      <c r="T31" s="56"/>
      <c r="U31" s="57"/>
      <c r="V31" s="8"/>
    </row>
    <row r="32" spans="2:22" s="395" customFormat="1" ht="16.5" x14ac:dyDescent="0.25">
      <c r="B32" s="388" t="s">
        <v>54</v>
      </c>
      <c r="C32" s="555">
        <f>'2022 - 2024 Combined Table A1'!W52</f>
        <v>31573671.848086491</v>
      </c>
      <c r="D32" s="555"/>
      <c r="E32" s="389">
        <f>SUM(E30:E31)</f>
        <v>0.57166680559052818</v>
      </c>
      <c r="F32" s="389">
        <f>SUM(F30:F31)</f>
        <v>0.63424464849179962</v>
      </c>
      <c r="G32" s="58"/>
      <c r="H32" s="58"/>
      <c r="I32" s="55"/>
      <c r="J32" s="55"/>
      <c r="P32" s="6"/>
      <c r="Q32" s="6"/>
      <c r="R32" s="8"/>
      <c r="S32" s="8"/>
      <c r="T32" s="56"/>
      <c r="U32" s="57"/>
      <c r="V32" s="8"/>
    </row>
    <row r="33" spans="2:22" s="395" customFormat="1" ht="16.5" x14ac:dyDescent="0.25">
      <c r="B33" s="390"/>
      <c r="C33" s="547"/>
      <c r="D33" s="548"/>
      <c r="E33" s="386"/>
      <c r="F33" s="387"/>
      <c r="G33" s="58"/>
      <c r="H33" s="58"/>
      <c r="I33" s="61"/>
      <c r="J33" s="61"/>
      <c r="P33" s="8"/>
      <c r="Q33" s="8"/>
      <c r="R33" s="8"/>
      <c r="S33" s="8"/>
      <c r="T33" s="8"/>
      <c r="U33" s="8"/>
      <c r="V33" s="8"/>
    </row>
    <row r="34" spans="2:22" s="395" customFormat="1" ht="16.5" x14ac:dyDescent="0.25">
      <c r="B34" s="385" t="s">
        <v>55</v>
      </c>
      <c r="C34" s="563">
        <f>'2022 - 2024 Combined Table A1'!W53</f>
        <v>18207862.6483685</v>
      </c>
      <c r="D34" s="563"/>
      <c r="E34" s="386">
        <f>SUM(C34/C43)</f>
        <v>0.32966804516449477</v>
      </c>
      <c r="F34" s="387">
        <f>SUM(C34/C37)</f>
        <v>0.36575535150820043</v>
      </c>
      <c r="G34" s="58"/>
      <c r="H34" s="58"/>
      <c r="I34" s="61"/>
      <c r="J34" s="61"/>
      <c r="P34" s="8"/>
      <c r="Q34" s="8"/>
      <c r="R34" s="8"/>
      <c r="S34" s="8"/>
      <c r="T34" s="8"/>
      <c r="U34" s="8"/>
      <c r="V34" s="8"/>
    </row>
    <row r="35" spans="2:22" s="395" customFormat="1" ht="16.5" x14ac:dyDescent="0.25">
      <c r="B35" s="388" t="s">
        <v>56</v>
      </c>
      <c r="C35" s="555">
        <f>SUM(C34)</f>
        <v>18207862.6483685</v>
      </c>
      <c r="D35" s="555"/>
      <c r="E35" s="389">
        <f>SUM(E33:E34)</f>
        <v>0.32966804516449477</v>
      </c>
      <c r="F35" s="389">
        <f>SUM(F33:F34)</f>
        <v>0.36575535150820043</v>
      </c>
      <c r="G35" s="58"/>
      <c r="H35" s="58"/>
      <c r="I35" s="55"/>
      <c r="J35" s="62"/>
      <c r="P35" s="8"/>
      <c r="Q35" s="8"/>
      <c r="R35" s="8"/>
      <c r="S35" s="8"/>
      <c r="T35" s="8"/>
      <c r="U35" s="8"/>
      <c r="V35" s="8"/>
    </row>
    <row r="36" spans="2:22" s="395" customFormat="1" ht="16.5" x14ac:dyDescent="0.25">
      <c r="B36" s="391"/>
      <c r="C36" s="564"/>
      <c r="D36" s="565"/>
      <c r="E36" s="392"/>
      <c r="F36" s="392"/>
      <c r="G36" s="63"/>
      <c r="H36" s="63"/>
      <c r="I36" s="55"/>
      <c r="J36" s="62"/>
    </row>
    <row r="37" spans="2:22" s="395" customFormat="1" ht="16.5" x14ac:dyDescent="0.25">
      <c r="B37" s="388" t="s">
        <v>57</v>
      </c>
      <c r="C37" s="555">
        <f>SUM(C32+C35)</f>
        <v>49781534.496454991</v>
      </c>
      <c r="D37" s="555"/>
      <c r="E37" s="389">
        <f>SUM(E32+E35)</f>
        <v>0.90133485075502295</v>
      </c>
      <c r="F37" s="389">
        <f>SUM(F32+F35)</f>
        <v>1</v>
      </c>
      <c r="G37" s="58"/>
      <c r="H37" s="64"/>
      <c r="I37" s="55"/>
      <c r="J37" s="62"/>
    </row>
    <row r="38" spans="2:22" s="395" customFormat="1" ht="16.5" x14ac:dyDescent="0.25">
      <c r="B38" s="390"/>
      <c r="C38" s="547"/>
      <c r="D38" s="548"/>
      <c r="E38" s="387"/>
      <c r="F38" s="393"/>
      <c r="G38" s="65"/>
      <c r="H38" s="65"/>
      <c r="I38" s="55"/>
      <c r="J38" s="66"/>
    </row>
    <row r="39" spans="2:22" s="397" customFormat="1" ht="15" customHeight="1" x14ac:dyDescent="0.25">
      <c r="B39" s="549" t="s">
        <v>58</v>
      </c>
      <c r="C39" s="550"/>
      <c r="D39" s="550"/>
      <c r="E39" s="550"/>
      <c r="F39" s="551"/>
      <c r="G39" s="67"/>
      <c r="H39" s="69"/>
      <c r="I39" s="68"/>
      <c r="J39" s="68"/>
    </row>
    <row r="40" spans="2:22" s="397" customFormat="1" ht="26.25" customHeight="1" x14ac:dyDescent="0.25">
      <c r="B40" s="385" t="s">
        <v>58</v>
      </c>
      <c r="C40" s="554">
        <f>'2022 - 2024 Combined Table A1'!W54</f>
        <v>5449364.935375913</v>
      </c>
      <c r="D40" s="554"/>
      <c r="E40" s="386">
        <f>C40/C43</f>
        <v>9.8665149244977018E-2</v>
      </c>
      <c r="F40" s="391"/>
      <c r="G40" s="67"/>
      <c r="H40" s="69"/>
      <c r="I40" s="68"/>
      <c r="J40" s="68"/>
    </row>
    <row r="41" spans="2:22" s="397" customFormat="1" ht="19.5" customHeight="1" x14ac:dyDescent="0.25">
      <c r="B41" s="388" t="s">
        <v>59</v>
      </c>
      <c r="C41" s="555">
        <f>SUM(C40)</f>
        <v>5449364.935375913</v>
      </c>
      <c r="D41" s="555"/>
      <c r="E41" s="389">
        <f>SUM(E40)</f>
        <v>9.8665149244977018E-2</v>
      </c>
      <c r="F41" s="394"/>
      <c r="G41" s="67"/>
      <c r="H41" s="70"/>
      <c r="I41" s="68"/>
      <c r="J41" s="68"/>
    </row>
    <row r="42" spans="2:22" s="397" customFormat="1" ht="16.5" x14ac:dyDescent="0.25">
      <c r="B42" s="556"/>
      <c r="C42" s="557"/>
      <c r="D42" s="557"/>
      <c r="E42" s="557"/>
      <c r="F42" s="558"/>
      <c r="G42" s="71"/>
      <c r="H42" s="72"/>
      <c r="I42" s="68"/>
      <c r="J42" s="68"/>
    </row>
    <row r="43" spans="2:22" s="397" customFormat="1" ht="16.5" x14ac:dyDescent="0.25">
      <c r="B43" s="394" t="s">
        <v>28</v>
      </c>
      <c r="C43" s="559">
        <f>C41+C37</f>
        <v>55230899.431830905</v>
      </c>
      <c r="D43" s="559"/>
      <c r="E43" s="389">
        <f>E37+E41</f>
        <v>1</v>
      </c>
      <c r="F43" s="407"/>
      <c r="G43" s="68"/>
      <c r="H43" s="68"/>
      <c r="I43" s="68"/>
      <c r="J43" s="68"/>
    </row>
    <row r="44" spans="2:22" s="397" customFormat="1" ht="21" customHeight="1" x14ac:dyDescent="0.25">
      <c r="B44" s="404" t="s">
        <v>141</v>
      </c>
      <c r="C44" s="552">
        <f>'2022 - 2024 Combined Table A1'!T55</f>
        <v>23939116.98277292</v>
      </c>
      <c r="D44" s="553"/>
      <c r="E44" s="406">
        <f>C44/C43</f>
        <v>0.43343702943530604</v>
      </c>
      <c r="F44" s="407"/>
      <c r="G44" s="153"/>
    </row>
    <row r="45" spans="2:22" s="398" customFormat="1" ht="21.75" customHeight="1" x14ac:dyDescent="0.25">
      <c r="B45" s="404" t="s">
        <v>45</v>
      </c>
      <c r="C45" s="552">
        <f>'2022 - 2024 Combined Table A1'!U55</f>
        <v>16450030.335762233</v>
      </c>
      <c r="D45" s="553"/>
      <c r="E45" s="406">
        <f>C45/C43</f>
        <v>0.29784107275069438</v>
      </c>
      <c r="F45" s="407"/>
      <c r="G45" s="199"/>
    </row>
    <row r="46" spans="2:22" s="398" customFormat="1" ht="19.5" customHeight="1" x14ac:dyDescent="0.25">
      <c r="B46" s="404" t="s">
        <v>46</v>
      </c>
      <c r="C46" s="552">
        <f>'2022 - 2024 Combined Table A1'!V55</f>
        <v>14841752.11329576</v>
      </c>
      <c r="D46" s="553"/>
      <c r="E46" s="406">
        <f>C46/C43</f>
        <v>0.26872189781399974</v>
      </c>
      <c r="F46" s="404"/>
      <c r="G46" s="199"/>
    </row>
    <row r="48" spans="2:22" s="80" customFormat="1" ht="16.5" x14ac:dyDescent="0.25">
      <c r="B48" s="280" t="s">
        <v>256</v>
      </c>
      <c r="C48" s="430"/>
      <c r="D48" s="431"/>
      <c r="E48" s="400"/>
      <c r="F48" s="400"/>
      <c r="G48" s="432"/>
      <c r="H48" s="433"/>
    </row>
    <row r="49" spans="2:8" s="80" customFormat="1" ht="16.5" x14ac:dyDescent="0.25">
      <c r="B49" s="434" t="s">
        <v>257</v>
      </c>
      <c r="C49" s="430"/>
      <c r="D49" s="431"/>
      <c r="E49" s="433"/>
      <c r="F49" s="433"/>
      <c r="G49" s="433"/>
      <c r="H49" s="433"/>
    </row>
  </sheetData>
  <mergeCells count="20">
    <mergeCell ref="C38:D38"/>
    <mergeCell ref="B2:F2"/>
    <mergeCell ref="B3:F3"/>
    <mergeCell ref="C29:D29"/>
    <mergeCell ref="C30:D30"/>
    <mergeCell ref="C31:D31"/>
    <mergeCell ref="C32:D32"/>
    <mergeCell ref="C33:D33"/>
    <mergeCell ref="C34:D34"/>
    <mergeCell ref="C35:D35"/>
    <mergeCell ref="C36:D36"/>
    <mergeCell ref="C37:D37"/>
    <mergeCell ref="C45:D45"/>
    <mergeCell ref="C46:D46"/>
    <mergeCell ref="B39:F39"/>
    <mergeCell ref="C40:D40"/>
    <mergeCell ref="C41:D41"/>
    <mergeCell ref="B42:F42"/>
    <mergeCell ref="C43:D43"/>
    <mergeCell ref="C44:D44"/>
  </mergeCells>
  <pageMargins left="0.7" right="0.7" top="0.75" bottom="0.75" header="0.3" footer="0.3"/>
  <pageSetup orientation="portrait"/>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608FB2-D888-4358-8DE9-A800BC94CB9E}">
  <sheetPr>
    <tabColor rgb="FFFFC000"/>
  </sheetPr>
  <dimension ref="B2:U53"/>
  <sheetViews>
    <sheetView topLeftCell="A29" zoomScaleNormal="100" workbookViewId="0">
      <selection activeCell="C47" sqref="C47:D47"/>
    </sheetView>
  </sheetViews>
  <sheetFormatPr defaultColWidth="9.140625" defaultRowHeight="12.75" x14ac:dyDescent="0.2"/>
  <cols>
    <col min="1" max="1" width="9.140625" style="522"/>
    <col min="2" max="2" width="36.28515625" style="522" bestFit="1" customWidth="1"/>
    <col min="3" max="3" width="9.140625" style="522"/>
    <col min="4" max="4" width="15.7109375" style="522" bestFit="1" customWidth="1"/>
    <col min="5" max="5" width="13.42578125" style="522" customWidth="1"/>
    <col min="6" max="8" width="18.28515625" style="522" customWidth="1"/>
    <col min="9" max="16384" width="9.140625" style="522"/>
  </cols>
  <sheetData>
    <row r="2" spans="2:12" s="395" customFormat="1" ht="23.25" x14ac:dyDescent="0.35">
      <c r="B2" s="545" t="s">
        <v>309</v>
      </c>
      <c r="C2" s="545"/>
      <c r="D2" s="545"/>
      <c r="E2" s="545"/>
      <c r="F2" s="545"/>
      <c r="G2" s="586"/>
      <c r="H2" s="586"/>
      <c r="I2" s="586"/>
      <c r="J2" s="586"/>
      <c r="K2" s="586"/>
      <c r="L2" s="586"/>
    </row>
    <row r="3" spans="2:12" s="395" customFormat="1" ht="23.25" x14ac:dyDescent="0.35">
      <c r="B3" s="545" t="s">
        <v>50</v>
      </c>
      <c r="C3" s="545"/>
      <c r="D3" s="545"/>
      <c r="E3" s="545"/>
      <c r="F3" s="545"/>
      <c r="G3" s="586"/>
      <c r="H3" s="586"/>
      <c r="I3" s="586"/>
      <c r="J3" s="586"/>
      <c r="K3" s="586"/>
      <c r="L3" s="586"/>
    </row>
    <row r="28" spans="2:21" x14ac:dyDescent="0.2">
      <c r="J28" s="523" t="s">
        <v>5</v>
      </c>
    </row>
    <row r="29" spans="2:21" s="395" customFormat="1" ht="72.75" customHeight="1" x14ac:dyDescent="0.2">
      <c r="B29" s="403" t="s">
        <v>51</v>
      </c>
      <c r="C29" s="585" t="s">
        <v>192</v>
      </c>
      <c r="D29" s="585"/>
      <c r="E29" s="524" t="s">
        <v>146</v>
      </c>
      <c r="F29" s="525" t="s">
        <v>221</v>
      </c>
      <c r="G29" s="525" t="s">
        <v>324</v>
      </c>
      <c r="H29" s="525" t="s">
        <v>325</v>
      </c>
      <c r="I29" s="526"/>
      <c r="J29" s="55"/>
      <c r="T29" s="527"/>
      <c r="U29" s="528"/>
    </row>
    <row r="30" spans="2:21" s="395" customFormat="1" ht="21.75" customHeight="1" x14ac:dyDescent="0.25">
      <c r="B30" s="490" t="s">
        <v>222</v>
      </c>
      <c r="C30" s="587">
        <f>'2024 Joint Table A1 Pies '!C30</f>
        <v>9209521.5581771415</v>
      </c>
      <c r="D30" s="588"/>
      <c r="E30" s="529">
        <f>SUM(C30/C47)</f>
        <v>0.16674581896939869</v>
      </c>
      <c r="F30" s="529">
        <f>C30/C41</f>
        <v>0.18499874805653016</v>
      </c>
      <c r="G30" s="521">
        <f>(0.13*0.4396)+(0.107*0.2946)+(0.134*0.2658)</f>
        <v>0.12428739999999999</v>
      </c>
      <c r="H30" s="529">
        <f>F30-G30</f>
        <v>6.0711348056530168E-2</v>
      </c>
      <c r="I30" s="55"/>
      <c r="J30" s="55"/>
      <c r="T30" s="527"/>
      <c r="U30" s="528"/>
    </row>
    <row r="31" spans="2:21" s="395" customFormat="1" ht="21" customHeight="1" x14ac:dyDescent="0.25">
      <c r="B31" s="490" t="s">
        <v>223</v>
      </c>
      <c r="C31" s="587">
        <f>'2024 Joint Table A1 Pies '!C31</f>
        <v>22364150.289909348</v>
      </c>
      <c r="D31" s="588"/>
      <c r="E31" s="529">
        <f>C31/C47</f>
        <v>0.40492098662112946</v>
      </c>
      <c r="F31" s="529">
        <f>C31/C41</f>
        <v>0.44924590043526941</v>
      </c>
      <c r="G31" s="521">
        <f>(0.1959*0.4396)+(0.4671*0.2946)+(0.4419*0.2658)</f>
        <v>0.34118231999999998</v>
      </c>
      <c r="H31" s="529">
        <f>F31-G31</f>
        <v>0.10806358043526942</v>
      </c>
      <c r="I31" s="55"/>
      <c r="J31" s="59"/>
      <c r="K31" s="60"/>
      <c r="L31" s="60"/>
      <c r="M31" s="60"/>
      <c r="N31" s="60"/>
      <c r="T31" s="527"/>
      <c r="U31" s="528"/>
    </row>
    <row r="32" spans="2:21" s="395" customFormat="1" ht="16.5" x14ac:dyDescent="0.25">
      <c r="B32" s="493" t="s">
        <v>54</v>
      </c>
      <c r="C32" s="568">
        <f>SUM(C30:D31)</f>
        <v>31573671.848086491</v>
      </c>
      <c r="D32" s="568"/>
      <c r="E32" s="530">
        <f>SUM(E30:E31)</f>
        <v>0.57166680559052818</v>
      </c>
      <c r="F32" s="530">
        <f>SUM(F30:F31)</f>
        <v>0.63424464849179962</v>
      </c>
      <c r="G32" s="530">
        <f>SUM(G30:G31)</f>
        <v>0.46546971999999998</v>
      </c>
      <c r="H32" s="530">
        <f>F32-G32</f>
        <v>0.16877492849179965</v>
      </c>
      <c r="I32" s="55"/>
      <c r="J32" s="55"/>
      <c r="T32" s="527"/>
      <c r="U32" s="528"/>
    </row>
    <row r="33" spans="2:10" s="395" customFormat="1" ht="16.5" x14ac:dyDescent="0.25">
      <c r="B33" s="531"/>
      <c r="C33" s="582"/>
      <c r="D33" s="583"/>
      <c r="E33" s="529"/>
      <c r="F33" s="529"/>
      <c r="G33" s="529"/>
      <c r="H33" s="529"/>
      <c r="I33" s="61"/>
      <c r="J33" s="61"/>
    </row>
    <row r="34" spans="2:10" s="395" customFormat="1" ht="16.5" x14ac:dyDescent="0.25">
      <c r="B34" s="490" t="s">
        <v>55</v>
      </c>
      <c r="C34" s="584">
        <f>'2024 Joint Table A1 Pies '!C34</f>
        <v>18207862.6483685</v>
      </c>
      <c r="D34" s="584"/>
      <c r="E34" s="529">
        <f>SUM(C34/C47)</f>
        <v>0.32966804516449477</v>
      </c>
      <c r="F34" s="529">
        <f>SUM(C34/C41)</f>
        <v>0.36575535150820043</v>
      </c>
      <c r="G34" s="529">
        <f>1-G32</f>
        <v>0.53453028000000002</v>
      </c>
      <c r="H34" s="529">
        <f>F34-G34</f>
        <v>-0.16877492849179959</v>
      </c>
      <c r="I34" s="61"/>
      <c r="J34" s="61"/>
    </row>
    <row r="35" spans="2:10" s="395" customFormat="1" ht="16.5" x14ac:dyDescent="0.25">
      <c r="B35" s="518" t="s">
        <v>358</v>
      </c>
      <c r="C35" s="519"/>
      <c r="D35" s="520"/>
      <c r="E35" s="521"/>
      <c r="F35" s="521">
        <f>$F$34*25%</f>
        <v>9.1438837877050108E-2</v>
      </c>
      <c r="G35" s="521">
        <f>$G$34*25%</f>
        <v>0.13363257000000001</v>
      </c>
      <c r="H35" s="529"/>
      <c r="I35" s="61"/>
      <c r="J35" s="61"/>
    </row>
    <row r="36" spans="2:10" s="395" customFormat="1" ht="16.5" x14ac:dyDescent="0.25">
      <c r="B36" s="518" t="s">
        <v>359</v>
      </c>
      <c r="C36" s="519"/>
      <c r="D36" s="520"/>
      <c r="E36" s="521"/>
      <c r="F36" s="521">
        <f>$F$34*25%</f>
        <v>9.1438837877050108E-2</v>
      </c>
      <c r="G36" s="521">
        <f>$G$34*25%</f>
        <v>0.13363257000000001</v>
      </c>
      <c r="H36" s="529"/>
      <c r="I36" s="61"/>
      <c r="J36" s="61"/>
    </row>
    <row r="37" spans="2:10" s="395" customFormat="1" ht="16.5" x14ac:dyDescent="0.25">
      <c r="B37" s="518" t="s">
        <v>360</v>
      </c>
      <c r="C37" s="519"/>
      <c r="D37" s="520"/>
      <c r="E37" s="521"/>
      <c r="F37" s="521">
        <f>$F$34*25%</f>
        <v>9.1438837877050108E-2</v>
      </c>
      <c r="G37" s="521">
        <f>$G$34*25%</f>
        <v>0.13363257000000001</v>
      </c>
      <c r="H37" s="529"/>
      <c r="I37" s="61"/>
      <c r="J37" s="61"/>
    </row>
    <row r="38" spans="2:10" s="395" customFormat="1" ht="16.5" x14ac:dyDescent="0.25">
      <c r="B38" s="518" t="s">
        <v>361</v>
      </c>
      <c r="C38" s="519"/>
      <c r="D38" s="520"/>
      <c r="E38" s="521"/>
      <c r="F38" s="521">
        <f>$F$34*25%</f>
        <v>9.1438837877050108E-2</v>
      </c>
      <c r="G38" s="521">
        <f>$G$34*25%</f>
        <v>0.13363257000000001</v>
      </c>
      <c r="H38" s="529"/>
      <c r="I38" s="61"/>
      <c r="J38" s="61"/>
    </row>
    <row r="39" spans="2:10" s="395" customFormat="1" ht="16.5" x14ac:dyDescent="0.25">
      <c r="B39" s="493" t="s">
        <v>56</v>
      </c>
      <c r="C39" s="568">
        <f>SUM(C34)</f>
        <v>18207862.6483685</v>
      </c>
      <c r="D39" s="568"/>
      <c r="E39" s="530">
        <f>SUM(E33:E34)</f>
        <v>0.32966804516449477</v>
      </c>
      <c r="F39" s="530">
        <f>SUM(F33:F34)</f>
        <v>0.36575535150820043</v>
      </c>
      <c r="G39" s="530">
        <f>SUM(G33:G34)</f>
        <v>0.53453028000000002</v>
      </c>
      <c r="H39" s="530">
        <f>SUM(H33:H34)</f>
        <v>-0.16877492849179959</v>
      </c>
      <c r="I39" s="55"/>
      <c r="J39" s="55"/>
    </row>
    <row r="40" spans="2:10" s="395" customFormat="1" ht="16.5" x14ac:dyDescent="0.25">
      <c r="B40" s="492"/>
      <c r="C40" s="580"/>
      <c r="D40" s="581"/>
      <c r="E40" s="529"/>
      <c r="F40" s="529"/>
      <c r="G40" s="529"/>
      <c r="H40" s="529"/>
      <c r="I40" s="55"/>
      <c r="J40" s="55"/>
    </row>
    <row r="41" spans="2:10" s="395" customFormat="1" ht="16.5" x14ac:dyDescent="0.25">
      <c r="B41" s="493" t="s">
        <v>57</v>
      </c>
      <c r="C41" s="568">
        <f>SUM(C32+C39)</f>
        <v>49781534.496454991</v>
      </c>
      <c r="D41" s="568"/>
      <c r="E41" s="530">
        <f>SUM(E32+E39)</f>
        <v>0.90133485075502295</v>
      </c>
      <c r="F41" s="530">
        <f>SUM(F32+F39)</f>
        <v>1</v>
      </c>
      <c r="G41" s="530">
        <f>SUM(G32+G39)</f>
        <v>1</v>
      </c>
      <c r="H41" s="530">
        <f>H32+H39</f>
        <v>0</v>
      </c>
      <c r="I41" s="55"/>
      <c r="J41" s="55"/>
    </row>
    <row r="42" spans="2:10" s="395" customFormat="1" ht="16.5" x14ac:dyDescent="0.25">
      <c r="B42" s="531"/>
      <c r="C42" s="582"/>
      <c r="D42" s="583"/>
      <c r="E42" s="535"/>
      <c r="F42" s="536"/>
      <c r="G42" s="536"/>
      <c r="H42" s="536"/>
      <c r="I42" s="55"/>
      <c r="J42" s="61"/>
    </row>
    <row r="43" spans="2:10" s="395" customFormat="1" ht="15" customHeight="1" x14ac:dyDescent="0.25">
      <c r="B43" s="569" t="s">
        <v>58</v>
      </c>
      <c r="C43" s="579"/>
      <c r="D43" s="579"/>
      <c r="E43" s="579"/>
      <c r="F43" s="579"/>
      <c r="G43" s="579"/>
      <c r="H43" s="579"/>
      <c r="I43" s="55"/>
      <c r="J43" s="55"/>
    </row>
    <row r="44" spans="2:10" s="395" customFormat="1" ht="26.25" customHeight="1" x14ac:dyDescent="0.25">
      <c r="B44" s="490" t="s">
        <v>58</v>
      </c>
      <c r="C44" s="584">
        <f>'2024 Joint Table A1 Pies '!C40</f>
        <v>5449364.935375913</v>
      </c>
      <c r="D44" s="584"/>
      <c r="E44" s="529">
        <f>C44/C47</f>
        <v>9.8665149244977018E-2</v>
      </c>
      <c r="F44" s="492"/>
      <c r="G44" s="492"/>
      <c r="H44" s="492"/>
      <c r="I44" s="55"/>
      <c r="J44" s="55"/>
    </row>
    <row r="45" spans="2:10" s="395" customFormat="1" ht="19.5" customHeight="1" x14ac:dyDescent="0.25">
      <c r="B45" s="493" t="s">
        <v>59</v>
      </c>
      <c r="C45" s="568">
        <f>SUM(C44)</f>
        <v>5449364.935375913</v>
      </c>
      <c r="D45" s="568"/>
      <c r="E45" s="530">
        <f>SUM(E44)</f>
        <v>9.8665149244977018E-2</v>
      </c>
      <c r="F45" s="495"/>
      <c r="G45" s="495"/>
      <c r="H45" s="495"/>
      <c r="I45" s="55"/>
      <c r="J45" s="55"/>
    </row>
    <row r="46" spans="2:10" s="395" customFormat="1" ht="16.5" x14ac:dyDescent="0.25">
      <c r="B46" s="575"/>
      <c r="C46" s="576"/>
      <c r="D46" s="576"/>
      <c r="E46" s="576"/>
      <c r="F46" s="576"/>
      <c r="G46" s="579"/>
      <c r="H46" s="579"/>
      <c r="I46" s="55"/>
      <c r="J46" s="55"/>
    </row>
    <row r="47" spans="2:10" s="395" customFormat="1" ht="16.5" x14ac:dyDescent="0.25">
      <c r="B47" s="495" t="s">
        <v>28</v>
      </c>
      <c r="C47" s="577">
        <f>C41+C45</f>
        <v>55230899.431830905</v>
      </c>
      <c r="D47" s="577"/>
      <c r="E47" s="530">
        <f>E41+E45</f>
        <v>1</v>
      </c>
      <c r="F47" s="533"/>
      <c r="G47" s="533"/>
      <c r="H47" s="533"/>
      <c r="I47" s="55"/>
      <c r="J47" s="55"/>
    </row>
    <row r="48" spans="2:10" s="395" customFormat="1" ht="21" customHeight="1" x14ac:dyDescent="0.25">
      <c r="B48" s="495" t="s">
        <v>141</v>
      </c>
      <c r="C48" s="552">
        <f>'2024 Joint Table A1 Pies '!C44</f>
        <v>23939116.98277292</v>
      </c>
      <c r="D48" s="578"/>
      <c r="E48" s="530">
        <f>C48/C47</f>
        <v>0.43343702943530604</v>
      </c>
      <c r="F48" s="533"/>
      <c r="G48" s="533"/>
      <c r="H48" s="533"/>
    </row>
    <row r="49" spans="2:8" s="395" customFormat="1" ht="21.75" customHeight="1" x14ac:dyDescent="0.25">
      <c r="B49" s="495" t="s">
        <v>45</v>
      </c>
      <c r="C49" s="552">
        <f>'2024 Joint Table A1 Pies '!C45</f>
        <v>16450030.335762233</v>
      </c>
      <c r="D49" s="578"/>
      <c r="E49" s="530">
        <f>C49/C47</f>
        <v>0.29784107275069438</v>
      </c>
      <c r="F49" s="533"/>
      <c r="G49" s="533"/>
      <c r="H49" s="533"/>
    </row>
    <row r="50" spans="2:8" s="395" customFormat="1" ht="19.5" customHeight="1" x14ac:dyDescent="0.25">
      <c r="B50" s="495" t="s">
        <v>46</v>
      </c>
      <c r="C50" s="552">
        <f>'2024 Joint Table A1 Pies '!C46</f>
        <v>14841752.11329576</v>
      </c>
      <c r="D50" s="578"/>
      <c r="E50" s="530">
        <f>C50/C47</f>
        <v>0.26872189781399974</v>
      </c>
      <c r="F50" s="495"/>
      <c r="G50" s="495"/>
      <c r="H50" s="495"/>
    </row>
    <row r="52" spans="2:8" ht="16.5" x14ac:dyDescent="0.25">
      <c r="B52" s="513" t="s">
        <v>256</v>
      </c>
      <c r="C52" s="514"/>
      <c r="D52" s="431"/>
      <c r="E52" s="400"/>
      <c r="F52" s="400"/>
      <c r="G52" s="515"/>
      <c r="H52" s="516"/>
    </row>
    <row r="53" spans="2:8" ht="16.5" x14ac:dyDescent="0.25">
      <c r="B53" s="517" t="s">
        <v>257</v>
      </c>
      <c r="C53" s="514"/>
      <c r="D53" s="431"/>
      <c r="E53" s="516"/>
      <c r="F53" s="516"/>
      <c r="G53" s="516"/>
      <c r="H53" s="516"/>
    </row>
  </sheetData>
  <mergeCells count="20">
    <mergeCell ref="C45:D45"/>
    <mergeCell ref="C47:D47"/>
    <mergeCell ref="C48:D48"/>
    <mergeCell ref="C49:D49"/>
    <mergeCell ref="C50:D50"/>
    <mergeCell ref="B46:H46"/>
    <mergeCell ref="C39:D39"/>
    <mergeCell ref="C40:D40"/>
    <mergeCell ref="C41:D41"/>
    <mergeCell ref="C42:D42"/>
    <mergeCell ref="C44:D44"/>
    <mergeCell ref="B43:H43"/>
    <mergeCell ref="C32:D32"/>
    <mergeCell ref="C33:D33"/>
    <mergeCell ref="C34:D34"/>
    <mergeCell ref="C29:D29"/>
    <mergeCell ref="B2:L2"/>
    <mergeCell ref="B3:L3"/>
    <mergeCell ref="C30:D30"/>
    <mergeCell ref="C31:D31"/>
  </mergeCells>
  <pageMargins left="0.7" right="0.7" top="0.75" bottom="0.75" header="0.3" footer="0.3"/>
  <pageSetup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35</vt:i4>
      </vt:variant>
      <vt:variant>
        <vt:lpstr>Named Ranges</vt:lpstr>
      </vt:variant>
      <vt:variant>
        <vt:i4>20</vt:i4>
      </vt:variant>
    </vt:vector>
  </HeadingPairs>
  <TitlesOfParts>
    <vt:vector size="55" baseType="lpstr">
      <vt:lpstr>2022 - 2024 Combined Table A1</vt:lpstr>
      <vt:lpstr>2021 Joint Table A1 Pies</vt:lpstr>
      <vt:lpstr>2022 Joint Table A1 Pies</vt:lpstr>
      <vt:lpstr>2022 Joint Table A1 Pies - Gas</vt:lpstr>
      <vt:lpstr>2022 New Joint Table A1 Pies</vt:lpstr>
      <vt:lpstr>2023 Joint Table A1 Pies</vt:lpstr>
      <vt:lpstr>2023 New Joint Table A1 Pies</vt:lpstr>
      <vt:lpstr>2024 Joint Table A1 Pies </vt:lpstr>
      <vt:lpstr>2024 New Joint Table A1 Pies</vt:lpstr>
      <vt:lpstr>2022-2025 Comb Revenues A2-Rev</vt:lpstr>
      <vt:lpstr>2020 - 2023 Comb Revenues A2</vt:lpstr>
      <vt:lpstr>ES CT Gas Table A</vt:lpstr>
      <vt:lpstr>Table A Pie Sector Alloc2022-24</vt:lpstr>
      <vt:lpstr>ES CT Gas 2021 Table A Pie</vt:lpstr>
      <vt:lpstr>ES CT Gas 2022 Table A Pie</vt:lpstr>
      <vt:lpstr>ES CT Gas 2023 Table A Pie</vt:lpstr>
      <vt:lpstr>ES CT Gas 2024 Table A Pie</vt:lpstr>
      <vt:lpstr>ES CT Gas 2021 Table C </vt:lpstr>
      <vt:lpstr>ES CT Gas 2021 Table C Pie</vt:lpstr>
      <vt:lpstr>ES CT Gas 2022 Table C  </vt:lpstr>
      <vt:lpstr>ES CT Gas 2022 Table C Pie </vt:lpstr>
      <vt:lpstr>ES CT Gas 2023 Table C </vt:lpstr>
      <vt:lpstr>ES CT Gas 2023 Table C Pie</vt:lpstr>
      <vt:lpstr>ES CT Gas 2024 Table C  </vt:lpstr>
      <vt:lpstr>ES CT Gas 2024 Table C Pie </vt:lpstr>
      <vt:lpstr>2014-25 ES CT G Table D-Proj $</vt:lpstr>
      <vt:lpstr>2014-24 ES CT G Table D1 AnnCCF</vt:lpstr>
      <vt:lpstr>2014-24 ES CT G Table D2LifeCCF</vt:lpstr>
      <vt:lpstr>2014-24 ES CT G Table D3 AnnCCF</vt:lpstr>
      <vt:lpstr>2014-24 ES CT G Table D4LifeCCF</vt:lpstr>
      <vt:lpstr>2014-24 ES CT G Table D5-Units</vt:lpstr>
      <vt:lpstr>2021 ES CT PMI</vt:lpstr>
      <vt:lpstr>2022 ES CT PMI</vt:lpstr>
      <vt:lpstr>2023 ES CT PMI</vt:lpstr>
      <vt:lpstr>2024 ES CT PMI </vt:lpstr>
      <vt:lpstr>'2014-24 ES CT G Table D1 AnnCCF'!Print_Area</vt:lpstr>
      <vt:lpstr>'2014-24 ES CT G Table D2LifeCCF'!Print_Area</vt:lpstr>
      <vt:lpstr>'2014-24 ES CT G Table D5-Units'!Print_Area</vt:lpstr>
      <vt:lpstr>'2014-25 ES CT G Table D-Proj $'!Print_Area</vt:lpstr>
      <vt:lpstr>'2021 ES CT PMI'!Print_Area</vt:lpstr>
      <vt:lpstr>'2022 ES CT PMI'!Print_Area</vt:lpstr>
      <vt:lpstr>'2023 ES CT PMI'!Print_Area</vt:lpstr>
      <vt:lpstr>'2024 ES CT PMI '!Print_Area</vt:lpstr>
      <vt:lpstr>'ES CT Gas 2021 Table C '!Print_Area</vt:lpstr>
      <vt:lpstr>'ES CT Gas 2022 Table C  '!Print_Area</vt:lpstr>
      <vt:lpstr>'ES CT Gas 2023 Table C '!Print_Area</vt:lpstr>
      <vt:lpstr>'ES CT Gas 2024 Table C  '!Print_Area</vt:lpstr>
      <vt:lpstr>'ES CT Gas Table A'!Print_Area</vt:lpstr>
      <vt:lpstr>'Table A Pie Sector Alloc2022-24'!Print_Area</vt:lpstr>
      <vt:lpstr>'2021 ES CT PMI'!Print_Titles</vt:lpstr>
      <vt:lpstr>'2022 ES CT PMI'!Print_Titles</vt:lpstr>
      <vt:lpstr>'2023 ES CT PMI'!Print_Titles</vt:lpstr>
      <vt:lpstr>'2024 ES CT PMI '!Print_Titles</vt:lpstr>
      <vt:lpstr>'2014-24 ES CT G Table D1 AnnCCF'!tableA1type_of_service</vt:lpstr>
      <vt:lpstr>'2014-25 ES CT G Table D-Proj $'!tableA1type_of_service</vt:lpstr>
    </vt:vector>
  </TitlesOfParts>
  <Company>Northeast Utilities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J Bruno</dc:creator>
  <cp:lastModifiedBy>Karlyn S Lempa</cp:lastModifiedBy>
  <cp:lastPrinted>2022-10-03T18:19:48Z</cp:lastPrinted>
  <dcterms:created xsi:type="dcterms:W3CDTF">2013-09-17T16:52:46Z</dcterms:created>
  <dcterms:modified xsi:type="dcterms:W3CDTF">2022-10-07T14:57:23Z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